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30" windowHeight="7650" tabRatio="863" activeTab="3"/>
  </bookViews>
  <sheets>
    <sheet name="đề quan trong 1" sheetId="3" r:id="rId1"/>
    <sheet name="Đề quan trong 2" sheetId="11" r:id="rId2"/>
    <sheet name="đề Xuat 1_03,3,2024" sheetId="15" r:id="rId3"/>
    <sheet name="đề Xuat 2_03,3,2024" sheetId="16" r:id="rId4"/>
    <sheet name="đề 3 (14,1,2024)" sheetId="14" r:id="rId5"/>
    <sheet name="đề Xuat 1_14,8,2022" sheetId="9" r:id="rId6"/>
    <sheet name="đề 26,6,2022" sheetId="7" r:id="rId7"/>
    <sheet name="đề xuat 1_15,5.2022" sheetId="5" r:id="rId8"/>
    <sheet name="19,3" sheetId="13" r:id="rId9"/>
    <sheet name="đề 15,1,2022_xuat 1" sheetId="10" r:id="rId10"/>
    <sheet name="đề 24,01,2021" sheetId="12" r:id="rId11"/>
    <sheet name="xuất 3 ngay 4,5,2017" sheetId="8" r:id="rId12"/>
    <sheet name="SV Thuc hanh1" sheetId="4" r:id="rId13"/>
    <sheet name="sv thuc hanh 3" sheetId="6" r:id="rId1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6" l="1"/>
  <c r="F6" i="16" s="1"/>
  <c r="D6" i="16"/>
  <c r="B6" i="16"/>
  <c r="F5" i="16"/>
  <c r="E5" i="16"/>
  <c r="D5" i="16"/>
  <c r="B5" i="16"/>
  <c r="F4" i="16"/>
  <c r="E4" i="16"/>
  <c r="D4" i="16"/>
  <c r="B4" i="16"/>
  <c r="F3" i="16"/>
  <c r="E3" i="16"/>
  <c r="D3" i="16"/>
  <c r="B3" i="16"/>
  <c r="F9" i="15"/>
  <c r="F4" i="15"/>
  <c r="F5" i="15"/>
  <c r="F6" i="15"/>
  <c r="F7" i="15"/>
  <c r="F8" i="15"/>
  <c r="F3" i="15"/>
  <c r="E4" i="15"/>
  <c r="E5" i="15"/>
  <c r="E6" i="15"/>
  <c r="E7" i="15"/>
  <c r="E8" i="15"/>
  <c r="E3" i="15"/>
  <c r="D4" i="15"/>
  <c r="D5" i="15"/>
  <c r="D6" i="15"/>
  <c r="D7" i="15"/>
  <c r="D8" i="15"/>
  <c r="D3" i="15"/>
  <c r="B8" i="15"/>
  <c r="B7" i="15"/>
  <c r="B6" i="15"/>
  <c r="B5" i="15"/>
  <c r="B4" i="15"/>
  <c r="B3" i="15"/>
  <c r="F7" i="16" l="1"/>
  <c r="G6" i="14"/>
  <c r="G4" i="14"/>
  <c r="G5" i="14"/>
  <c r="H5" i="14" s="1"/>
  <c r="G7" i="14"/>
  <c r="G8" i="14"/>
  <c r="G3" i="14"/>
  <c r="H3" i="14"/>
  <c r="F9" i="14"/>
  <c r="E9" i="14"/>
  <c r="D9" i="14"/>
  <c r="H8" i="14"/>
  <c r="C8" i="14"/>
  <c r="H7" i="14"/>
  <c r="C7" i="14"/>
  <c r="H6" i="14"/>
  <c r="C6" i="14"/>
  <c r="C5" i="14"/>
  <c r="H4" i="14"/>
  <c r="C4" i="14"/>
  <c r="C3" i="14"/>
  <c r="H9" i="14" l="1"/>
  <c r="G9" i="14"/>
  <c r="K4" i="12" l="1"/>
  <c r="K5" i="12"/>
  <c r="K6" i="12"/>
  <c r="K7" i="12"/>
  <c r="K8" i="12"/>
  <c r="K3" i="12"/>
  <c r="J4" i="12"/>
  <c r="J5" i="12"/>
  <c r="J6" i="12"/>
  <c r="J7" i="12"/>
  <c r="J8" i="12"/>
  <c r="J3" i="12"/>
  <c r="I5" i="12"/>
  <c r="I6" i="12"/>
  <c r="I7" i="12"/>
  <c r="I8" i="12"/>
  <c r="I4" i="12"/>
  <c r="I3" i="12"/>
  <c r="F4" i="12"/>
  <c r="G4" i="12"/>
  <c r="F5" i="12"/>
  <c r="G5" i="12"/>
  <c r="F6" i="12"/>
  <c r="G6" i="12"/>
  <c r="F7" i="12"/>
  <c r="G7" i="12"/>
  <c r="F8" i="12"/>
  <c r="G8" i="12"/>
  <c r="G3" i="12"/>
  <c r="F3" i="12"/>
  <c r="E4" i="12"/>
  <c r="E5" i="12"/>
  <c r="E6" i="12"/>
  <c r="E7" i="12"/>
  <c r="E8" i="12"/>
  <c r="E3" i="12"/>
  <c r="H8" i="12"/>
  <c r="H7" i="12"/>
  <c r="H6" i="12"/>
  <c r="H5" i="12"/>
  <c r="H4" i="12"/>
  <c r="H3" i="12"/>
  <c r="E4" i="11" l="1"/>
  <c r="E5" i="11"/>
  <c r="E6" i="11"/>
  <c r="E7" i="11"/>
  <c r="E8" i="11"/>
  <c r="E9" i="11"/>
  <c r="E10" i="11"/>
  <c r="E11" i="11"/>
  <c r="E3" i="11"/>
  <c r="G11" i="11"/>
  <c r="C11" i="11"/>
  <c r="G10" i="11"/>
  <c r="C10" i="11"/>
  <c r="G9" i="11"/>
  <c r="C9" i="11"/>
  <c r="G8" i="11"/>
  <c r="C8" i="11"/>
  <c r="G7" i="11"/>
  <c r="C7" i="11"/>
  <c r="G6" i="11"/>
  <c r="C6" i="11"/>
  <c r="G5" i="11"/>
  <c r="C5" i="11"/>
  <c r="G4" i="11"/>
  <c r="C4" i="11"/>
  <c r="G3" i="11"/>
  <c r="C3" i="11"/>
  <c r="F8" i="10" l="1"/>
  <c r="F5" i="10"/>
  <c r="F6" i="10"/>
  <c r="F7" i="10"/>
  <c r="F4" i="10"/>
  <c r="E5" i="10"/>
  <c r="E6" i="10"/>
  <c r="E7" i="10"/>
  <c r="E4" i="10"/>
  <c r="D7" i="10" l="1"/>
  <c r="B7" i="10"/>
  <c r="D6" i="10"/>
  <c r="B6" i="10"/>
  <c r="D5" i="10"/>
  <c r="B5" i="10"/>
  <c r="D4" i="10"/>
  <c r="B4" i="10"/>
  <c r="C3" i="9" l="1"/>
  <c r="E3" i="9" s="1"/>
  <c r="H3" i="9" s="1"/>
  <c r="C4" i="9"/>
  <c r="E4" i="9" s="1"/>
  <c r="H4" i="9" s="1"/>
  <c r="C5" i="9"/>
  <c r="E5" i="9" s="1"/>
  <c r="H5" i="9" s="1"/>
  <c r="C6" i="9"/>
  <c r="C7" i="9"/>
  <c r="E7" i="9" s="1"/>
  <c r="H7" i="9" s="1"/>
  <c r="C8" i="9"/>
  <c r="E8" i="9" s="1"/>
  <c r="H8" i="9" s="1"/>
  <c r="C9" i="9"/>
  <c r="E9" i="9" s="1"/>
  <c r="H9" i="9" s="1"/>
  <c r="E6" i="9"/>
  <c r="H6" i="9"/>
  <c r="J11" i="5" l="1"/>
  <c r="H11" i="5"/>
  <c r="E11" i="5"/>
  <c r="J10" i="5"/>
  <c r="H10" i="5"/>
  <c r="E10" i="5"/>
  <c r="J9" i="5"/>
  <c r="H9" i="5"/>
  <c r="E9" i="5"/>
  <c r="J8" i="5"/>
  <c r="H8" i="5"/>
  <c r="E8" i="5"/>
  <c r="J7" i="5"/>
  <c r="H7" i="5"/>
  <c r="E7" i="5"/>
  <c r="J6" i="5"/>
  <c r="H6" i="5"/>
  <c r="E6" i="5"/>
  <c r="J5" i="5"/>
  <c r="H5" i="5"/>
  <c r="E5" i="5"/>
  <c r="J4" i="5"/>
  <c r="H4" i="5"/>
  <c r="E4" i="5"/>
  <c r="J3" i="5"/>
  <c r="H3" i="5"/>
  <c r="E3" i="5"/>
  <c r="I3" i="3" l="1"/>
  <c r="H3" i="3"/>
  <c r="L4" i="3"/>
  <c r="L5" i="3"/>
  <c r="L6" i="3"/>
  <c r="L7" i="3"/>
  <c r="G5" i="3"/>
  <c r="G6" i="3"/>
  <c r="G7" i="3"/>
  <c r="G4" i="3"/>
  <c r="L13" i="8" l="1"/>
  <c r="K13" i="8"/>
  <c r="F13" i="8" s="1"/>
  <c r="G13" i="8" s="1"/>
  <c r="L12" i="8"/>
  <c r="K12" i="8"/>
  <c r="F12" i="8"/>
  <c r="G12" i="8" s="1"/>
  <c r="C12" i="8"/>
  <c r="L11" i="8"/>
  <c r="H11" i="8" s="1"/>
  <c r="K11" i="8"/>
  <c r="G11" i="8"/>
  <c r="F11" i="8"/>
  <c r="C11" i="8"/>
  <c r="L10" i="8"/>
  <c r="K10" i="8"/>
  <c r="F10" i="8" s="1"/>
  <c r="G10" i="8" s="1"/>
  <c r="L9" i="8"/>
  <c r="H9" i="8" s="1"/>
  <c r="K9" i="8"/>
  <c r="F9" i="8" s="1"/>
  <c r="G9" i="8" s="1"/>
  <c r="I9" i="8" s="1"/>
  <c r="C9" i="8"/>
  <c r="L8" i="8"/>
  <c r="K8" i="8"/>
  <c r="F8" i="8" s="1"/>
  <c r="G8" i="8" s="1"/>
  <c r="C8" i="8"/>
  <c r="L7" i="8"/>
  <c r="H7" i="8" s="1"/>
  <c r="K7" i="8"/>
  <c r="G7" i="8"/>
  <c r="I7" i="8" s="1"/>
  <c r="F7" i="8"/>
  <c r="C7" i="8"/>
  <c r="L6" i="8"/>
  <c r="K6" i="8"/>
  <c r="F6" i="8" s="1"/>
  <c r="G6" i="8" s="1"/>
  <c r="L5" i="8"/>
  <c r="H5" i="8" s="1"/>
  <c r="K5" i="8"/>
  <c r="F5" i="8" s="1"/>
  <c r="G5" i="8" s="1"/>
  <c r="C5" i="8"/>
  <c r="H8" i="8" l="1"/>
  <c r="I8" i="8" s="1"/>
  <c r="H6" i="8"/>
  <c r="I6" i="8" s="1"/>
  <c r="I10" i="8"/>
  <c r="I11" i="8"/>
  <c r="H12" i="8"/>
  <c r="I12" i="8"/>
  <c r="H13" i="8"/>
  <c r="I13" i="8" s="1"/>
  <c r="I5" i="8"/>
  <c r="H10" i="8"/>
  <c r="C6" i="8"/>
  <c r="C10" i="8"/>
  <c r="C13" i="8"/>
  <c r="K9" i="7"/>
  <c r="J9" i="7"/>
  <c r="H9" i="7"/>
  <c r="G9" i="7"/>
  <c r="D9" i="7"/>
  <c r="C9" i="7"/>
  <c r="K8" i="7"/>
  <c r="D8" i="7" s="1"/>
  <c r="J8" i="7"/>
  <c r="H8" i="7"/>
  <c r="G8" i="7"/>
  <c r="C8" i="7"/>
  <c r="K7" i="7"/>
  <c r="J7" i="7"/>
  <c r="H7" i="7"/>
  <c r="G7" i="7"/>
  <c r="D7" i="7"/>
  <c r="C7" i="7"/>
  <c r="K6" i="7"/>
  <c r="D6" i="7" s="1"/>
  <c r="J6" i="7"/>
  <c r="H6" i="7"/>
  <c r="G6" i="7"/>
  <c r="C6" i="7"/>
  <c r="K5" i="7"/>
  <c r="J5" i="7"/>
  <c r="H5" i="7"/>
  <c r="G5" i="7"/>
  <c r="D5" i="7"/>
  <c r="C5" i="7"/>
  <c r="K4" i="7"/>
  <c r="D4" i="7" s="1"/>
  <c r="J4" i="7"/>
  <c r="H4" i="7"/>
  <c r="G4" i="7"/>
  <c r="C4" i="7"/>
  <c r="K3" i="7"/>
  <c r="J3" i="7"/>
  <c r="H3" i="7"/>
  <c r="G3" i="7"/>
  <c r="D3" i="7"/>
  <c r="C3" i="7"/>
  <c r="L3" i="3" l="1"/>
  <c r="M4" i="3"/>
  <c r="M5" i="3"/>
  <c r="M6" i="3"/>
  <c r="M7" i="3"/>
  <c r="M3" i="3"/>
  <c r="G3" i="3"/>
  <c r="K3" i="3"/>
  <c r="J3" i="3"/>
</calcChain>
</file>

<file path=xl/sharedStrings.xml><?xml version="1.0" encoding="utf-8"?>
<sst xmlns="http://schemas.openxmlformats.org/spreadsheetml/2006/main" count="425" uniqueCount="342">
  <si>
    <t>BẢNG THANH TOÁN TIỀN ĐIỆN THÁNG xyz</t>
  </si>
  <si>
    <t>TT</t>
  </si>
  <si>
    <t>Mã hộ</t>
  </si>
  <si>
    <t>Họ và tên</t>
  </si>
  <si>
    <t>Số cũ</t>
  </si>
  <si>
    <t>Số mới</t>
  </si>
  <si>
    <t>Tiêu thụ</t>
  </si>
  <si>
    <t>Vượt ĐM</t>
  </si>
  <si>
    <t>Số tiền</t>
  </si>
  <si>
    <t>Tiền vượt</t>
  </si>
  <si>
    <t>Ghi chú</t>
  </si>
  <si>
    <t>GD001</t>
  </si>
  <si>
    <t>Nguyễn</t>
  </si>
  <si>
    <t>A</t>
  </si>
  <si>
    <t>KD002</t>
  </si>
  <si>
    <t>Trần Xuân</t>
  </si>
  <si>
    <t>B</t>
  </si>
  <si>
    <t>SX003</t>
  </si>
  <si>
    <t xml:space="preserve">Lê Thị </t>
  </si>
  <si>
    <t>C</t>
  </si>
  <si>
    <t>GD004</t>
  </si>
  <si>
    <t>Trương Văn</t>
  </si>
  <si>
    <t>D</t>
  </si>
  <si>
    <t>GD005</t>
  </si>
  <si>
    <t>Lê Văn</t>
  </si>
  <si>
    <t>E</t>
  </si>
  <si>
    <t>Bảng 1:</t>
  </si>
  <si>
    <t>Ký hiệu </t>
  </si>
  <si>
    <t>GD</t>
  </si>
  <si>
    <t>KD</t>
  </si>
  <si>
    <t>SX</t>
  </si>
  <si>
    <t>Định mức </t>
  </si>
  <si>
    <t>2 ký tự đầu</t>
  </si>
  <si>
    <t>đinh mức (nháp)</t>
  </si>
  <si>
    <t>2 ký tự đầu (nháp)</t>
  </si>
  <si>
    <t xml:space="preserve"> =IF(G3&gt;=L3;G3-L3;0)</t>
  </si>
  <si>
    <t xml:space="preserve"> =HLOOKUP(M3; $E$9:$G$10;   2;  0)</t>
  </si>
  <si>
    <t xml:space="preserve"> =LEFT(B3;2)</t>
  </si>
  <si>
    <t xml:space="preserve">  =F3-E3</t>
  </si>
  <si>
    <t>Tham khảo các đề khác để học tính Trung bình, hàm làm tròn số, xử lý chuỗi …</t>
  </si>
  <si>
    <t>định mức</t>
  </si>
  <si>
    <t xml:space="preserve"> =IF(H3&gt;0;       L3*1000 +H3*2000;     G3*1000)</t>
  </si>
  <si>
    <r>
      <t xml:space="preserve">Câu 2: </t>
    </r>
    <r>
      <rPr>
        <b/>
        <sz val="12"/>
        <color rgb="FFFF0000"/>
        <rFont val="Times New Roman"/>
        <family val="1"/>
        <charset val="163"/>
      </rPr>
      <t xml:space="preserve">Hai ký tự đầu của Mã hộ </t>
    </r>
    <r>
      <rPr>
        <b/>
        <sz val="12"/>
        <color theme="1"/>
        <rFont val="Times New Roman"/>
        <family val="1"/>
        <charset val="163"/>
      </rPr>
      <t xml:space="preserve">cho biết định mức tiêu thụ điện của hộ đó. Hãy tính số KWh vượt định mức (cột Số KW Vượt định mức), biết: nếu số KWh đã tiêu thụ lớn hơn định mức (tra cứu trong Bảng 1) thì Vượt ĐM = Tiêu thụ – Định mức, ngược lại Vượt ĐM = 0. </t>
    </r>
    <r>
      <rPr>
        <b/>
        <sz val="12"/>
        <color rgb="FFFF0000"/>
        <rFont val="Times New Roman"/>
        <family val="1"/>
        <charset val="163"/>
      </rPr>
      <t>(1,5đ)</t>
    </r>
  </si>
  <si>
    <t xml:space="preserve"> = IF(H3&gt;0; H3*2000; 0)</t>
  </si>
  <si>
    <t xml:space="preserve"> =IF(H3&lt;=0; " TK điện";   " ")</t>
  </si>
  <si>
    <t>Thuc hanh</t>
  </si>
  <si>
    <t>STT</t>
  </si>
  <si>
    <t>Mã câu lạc bộ</t>
  </si>
  <si>
    <t>TÊN CÂU LẠC BỘ</t>
  </si>
  <si>
    <t>TÊN NƯỚC</t>
  </si>
  <si>
    <t>SỐ CĐV</t>
  </si>
  <si>
    <t>GIÁ VÉ</t>
  </si>
  <si>
    <t>DOANH THU</t>
  </si>
  <si>
    <t>LÃI LỖ</t>
  </si>
  <si>
    <t>nháp
2 kt GIỮA</t>
  </si>
  <si>
    <t>1 
kt đầu</t>
  </si>
  <si>
    <t>IAC1</t>
  </si>
  <si>
    <t>EMU1</t>
  </si>
  <si>
    <t>FPS2</t>
  </si>
  <si>
    <t>SBA1</t>
  </si>
  <si>
    <t>SRE1</t>
  </si>
  <si>
    <t>GBM2</t>
  </si>
  <si>
    <t>PBE2</t>
  </si>
  <si>
    <t>BẢNG TRA</t>
  </si>
  <si>
    <t>MÃ CLB</t>
  </si>
  <si>
    <t>MÃ QUỐC GIA</t>
  </si>
  <si>
    <t>tên nước</t>
  </si>
  <si>
    <t>MU</t>
  </si>
  <si>
    <t>MANT</t>
  </si>
  <si>
    <t>I</t>
  </si>
  <si>
    <t>Ý</t>
  </si>
  <si>
    <t>PS</t>
  </si>
  <si>
    <t>PARISG</t>
  </si>
  <si>
    <t>G</t>
  </si>
  <si>
    <t>ĐỨC</t>
  </si>
  <si>
    <t>RE</t>
  </si>
  <si>
    <t>REAL</t>
  </si>
  <si>
    <t>S</t>
  </si>
  <si>
    <t>TÂY</t>
  </si>
  <si>
    <t>BE</t>
  </si>
  <si>
    <t>BENFIEA</t>
  </si>
  <si>
    <t>P</t>
  </si>
  <si>
    <t>BỒ</t>
  </si>
  <si>
    <t>AC</t>
  </si>
  <si>
    <t>AC MILAN</t>
  </si>
  <si>
    <t>F</t>
  </si>
  <si>
    <t>PHÁP</t>
  </si>
  <si>
    <t>BA</t>
  </si>
  <si>
    <t>BARCE</t>
  </si>
  <si>
    <t>ANH</t>
  </si>
  <si>
    <t>BM</t>
  </si>
  <si>
    <t>BAYEM</t>
  </si>
  <si>
    <t>X</t>
  </si>
  <si>
    <t xml:space="preserve">CỬA HÀNG ĐỒ KHÔ SỐ 19 CHỢ TUY HÒA </t>
  </si>
  <si>
    <t xml:space="preserve">CHỪNG TỪ </t>
  </si>
  <si>
    <t xml:space="preserve">MẶT HÀNG </t>
  </si>
  <si>
    <t xml:space="preserve">NGÀY BÁN </t>
  </si>
  <si>
    <t>SỐ KG</t>
  </si>
  <si>
    <t xml:space="preserve">GIÁ BÁN </t>
  </si>
  <si>
    <t>THÀNH TIỀN</t>
  </si>
  <si>
    <t>VẬN CHUYỄN</t>
  </si>
  <si>
    <t xml:space="preserve">TỔNG CỘN </t>
  </si>
  <si>
    <t>phụ</t>
  </si>
  <si>
    <t>Ký tự cuối chứng từ</t>
  </si>
  <si>
    <t>1KM-0</t>
  </si>
  <si>
    <t>1LX-2</t>
  </si>
  <si>
    <t>3LX-1</t>
  </si>
  <si>
    <t>4KM-1</t>
  </si>
  <si>
    <t>5TK-0</t>
  </si>
  <si>
    <t>7KM-2</t>
  </si>
  <si>
    <t>8TK-2</t>
  </si>
  <si>
    <t>9TK-1</t>
  </si>
  <si>
    <t xml:space="preserve"> =VLOOKUP(L5; $A$17:$D$20; 2; 0)</t>
  </si>
  <si>
    <t>BẢNG GIÁ</t>
  </si>
  <si>
    <t xml:space="preserve"> =VLOOKUP(L5; $A$17:$D$21;    IF(E5&gt;=10; 3; 4); 0)</t>
  </si>
  <si>
    <t>MÃ SỐ</t>
  </si>
  <si>
    <t xml:space="preserve">GIÁ SĨ </t>
  </si>
  <si>
    <t>GIÁ LẺ</t>
  </si>
  <si>
    <t xml:space="preserve"> =E5*F5</t>
  </si>
  <si>
    <t>TK</t>
  </si>
  <si>
    <t>TÔM KHÔ</t>
  </si>
  <si>
    <t xml:space="preserve"> =IF(M5="0"; 0; IF(M5="1"; G5*5%; G5*10%))</t>
  </si>
  <si>
    <t>LX</t>
  </si>
  <si>
    <t>LẠP XƯỠNG</t>
  </si>
  <si>
    <t xml:space="preserve"> =G5+H5</t>
  </si>
  <si>
    <t>KM</t>
  </si>
  <si>
    <t>KHÔ MỰC</t>
  </si>
  <si>
    <t>Số KW Vượt ĐM</t>
  </si>
  <si>
    <t>Số tiền phải trả</t>
  </si>
  <si>
    <t>Mã số</t>
  </si>
  <si>
    <t>Họ tên</t>
  </si>
  <si>
    <t>Phái</t>
  </si>
  <si>
    <t>Năm sinh</t>
  </si>
  <si>
    <t>Nội dung thí</t>
  </si>
  <si>
    <t>Xuất phát</t>
  </si>
  <si>
    <t>Về đích</t>
  </si>
  <si>
    <t>Thành tích</t>
  </si>
  <si>
    <t>kt đầu</t>
  </si>
  <si>
    <t>C8</t>
  </si>
  <si>
    <t>Trần Văn Lộc</t>
  </si>
  <si>
    <t>Nam</t>
  </si>
  <si>
    <t>B3</t>
  </si>
  <si>
    <t>Võ Thế Bảo</t>
  </si>
  <si>
    <t>Lê Văn Toán</t>
  </si>
  <si>
    <t>M1</t>
  </si>
  <si>
    <t>Trần Tân Tài</t>
  </si>
  <si>
    <t>M5</t>
  </si>
  <si>
    <t>Lê Minh Tâm</t>
  </si>
  <si>
    <t>C6</t>
  </si>
  <si>
    <t>Vũ Thị Liên</t>
  </si>
  <si>
    <t>Nữ</t>
  </si>
  <si>
    <t>M9</t>
  </si>
  <si>
    <t>Lê Ngọc Thủy</t>
  </si>
  <si>
    <t>M7</t>
  </si>
  <si>
    <t>Võ Thanh Tâm</t>
  </si>
  <si>
    <t>B1</t>
  </si>
  <si>
    <t xml:space="preserve">Lê Xuân An </t>
  </si>
  <si>
    <t xml:space="preserve">Nữ </t>
  </si>
  <si>
    <t>Tên nội dung thi</t>
  </si>
  <si>
    <t>Thống kê thành tích Maraton</t>
  </si>
  <si>
    <t>M</t>
  </si>
  <si>
    <t>Maraton</t>
  </si>
  <si>
    <t>Cao nhất</t>
  </si>
  <si>
    <t>Thấp nhất</t>
  </si>
  <si>
    <t>Đi bộ 20 km</t>
  </si>
  <si>
    <t xml:space="preserve"> Chạy 1000m</t>
  </si>
  <si>
    <t>BẢNG TIÊU THỤ NHIÊN LIỆU TRONG THÁNG 7/2022</t>
  </si>
  <si>
    <t>Mã Hàng</t>
  </si>
  <si>
    <t>Tên Hàng</t>
  </si>
  <si>
    <t>Hãng SX</t>
  </si>
  <si>
    <t>Đơn giá</t>
  </si>
  <si>
    <t>Số lượng (lít)</t>
  </si>
  <si>
    <t>Thuế</t>
  </si>
  <si>
    <t>Thành tiền</t>
  </si>
  <si>
    <t>N4TCA</t>
  </si>
  <si>
    <t>Cátrol</t>
  </si>
  <si>
    <t>N06MO</t>
  </si>
  <si>
    <t>Mobil</t>
  </si>
  <si>
    <t>N89BP</t>
  </si>
  <si>
    <t>British Ptro</t>
  </si>
  <si>
    <t>D01ES</t>
  </si>
  <si>
    <t>Esso</t>
  </si>
  <si>
    <t>D00BP</t>
  </si>
  <si>
    <t>X92SH</t>
  </si>
  <si>
    <t>Shell</t>
  </si>
  <si>
    <t>D00TN</t>
  </si>
  <si>
    <t>Trong nước</t>
  </si>
  <si>
    <t>Bảng phụ</t>
  </si>
  <si>
    <t>ĐG đồng/lít</t>
  </si>
  <si>
    <t>Xăng</t>
  </si>
  <si>
    <t>Dầu</t>
  </si>
  <si>
    <t>N</t>
  </si>
  <si>
    <t>Nhớt</t>
  </si>
  <si>
    <t>làm nháp</t>
  </si>
  <si>
    <t>đề thi 15,1,2022- xuất 1</t>
  </si>
  <si>
    <t>Phiếu hàng</t>
  </si>
  <si>
    <t>Mã hàng</t>
  </si>
  <si>
    <t>tên hàng</t>
  </si>
  <si>
    <t>SL</t>
  </si>
  <si>
    <t>ĐG</t>
  </si>
  <si>
    <t>Kh Mãi</t>
  </si>
  <si>
    <t>ST08</t>
  </si>
  <si>
    <t>CV24</t>
  </si>
  <si>
    <t>ZTS1</t>
  </si>
  <si>
    <t>V210</t>
  </si>
  <si>
    <t>Bảng SP</t>
  </si>
  <si>
    <t>Máy khoan 21v</t>
  </si>
  <si>
    <t>Camera</t>
  </si>
  <si>
    <t>đầu ghi hình</t>
  </si>
  <si>
    <t>Đồng hồ đo</t>
  </si>
  <si>
    <t>Tổng cộng</t>
  </si>
  <si>
    <t>KẾT QUẢ CUỘC THI KHOA HỌC KỸ THUÂT</t>
  </si>
  <si>
    <t>Họ và Tên</t>
  </si>
  <si>
    <t>Lớp</t>
  </si>
  <si>
    <t>Lĩnh vực ứng dụng</t>
  </si>
  <si>
    <t>Giải</t>
  </si>
  <si>
    <t>Tiền thưởng</t>
  </si>
  <si>
    <t>C12</t>
  </si>
  <si>
    <t>Bùi Thị Ngọc Hiền</t>
  </si>
  <si>
    <t>KK</t>
  </si>
  <si>
    <t>C11</t>
  </si>
  <si>
    <t>Lê Thị Hường</t>
  </si>
  <si>
    <t>A10</t>
  </si>
  <si>
    <t>Nguyễn Thị Minh Phương</t>
  </si>
  <si>
    <t>Trịnh Thị Phượng</t>
  </si>
  <si>
    <t>Võ Thị Đồng Tâm</t>
  </si>
  <si>
    <t>A12</t>
  </si>
  <si>
    <t>Nguyễn thị Hồng Diễm</t>
  </si>
  <si>
    <t>B10</t>
  </si>
  <si>
    <t>Bùi Thị Hiền</t>
  </si>
  <si>
    <t>A11</t>
  </si>
  <si>
    <t>Dương Thị Hoàng Anh</t>
  </si>
  <si>
    <t>B12</t>
  </si>
  <si>
    <t>Nguyễn Thị Chính</t>
  </si>
  <si>
    <t>Bảng dữ liệu</t>
  </si>
  <si>
    <t>Mã</t>
  </si>
  <si>
    <t>Ứng Dụng</t>
  </si>
  <si>
    <t>Nông nghiệp</t>
  </si>
  <si>
    <t>Giáo dục</t>
  </si>
  <si>
    <t>Môi trường</t>
  </si>
  <si>
    <t>KẾT QUẢ THI TUYỂN SINH</t>
  </si>
  <si>
    <t>Số báo danh</t>
  </si>
  <si>
    <t>Tên thí sinh</t>
  </si>
  <si>
    <t>Mã trường</t>
  </si>
  <si>
    <t>Diện chính sách</t>
  </si>
  <si>
    <t>Toán</t>
  </si>
  <si>
    <t>Lý</t>
  </si>
  <si>
    <t>Hóa</t>
  </si>
  <si>
    <t>Điểm Ưu tiên</t>
  </si>
  <si>
    <t>Tổng Điểm</t>
  </si>
  <si>
    <t>A01</t>
  </si>
  <si>
    <t>Thành</t>
  </si>
  <si>
    <t>K</t>
  </si>
  <si>
    <t>D01</t>
  </si>
  <si>
    <t>B01</t>
  </si>
  <si>
    <t>Lê</t>
  </si>
  <si>
    <t>CLS</t>
  </si>
  <si>
    <t>B02</t>
  </si>
  <si>
    <t>Việt</t>
  </si>
  <si>
    <t>CTB</t>
  </si>
  <si>
    <t>D02</t>
  </si>
  <si>
    <t>C01</t>
  </si>
  <si>
    <t>Hoàng</t>
  </si>
  <si>
    <t>Thi</t>
  </si>
  <si>
    <t>Thái</t>
  </si>
  <si>
    <t>MN</t>
  </si>
  <si>
    <t>BẢNG TRA ĐIỂM THI</t>
  </si>
  <si>
    <t>Bảng điểm chuẩn</t>
  </si>
  <si>
    <t>Điểm chuẩn</t>
  </si>
  <si>
    <t>điểm chuẩn</t>
  </si>
  <si>
    <t>kết quả đâu/Rớt</t>
  </si>
  <si>
    <t>BẢN THEO DÕI TÌNH HÌNH SẢN XUẤT NĂM 2023</t>
  </si>
  <si>
    <t>Tên Nhân Viên</t>
  </si>
  <si>
    <t>Mã sản phẩm</t>
  </si>
  <si>
    <t>Tên sản phẩm</t>
  </si>
  <si>
    <t>Số lượng</t>
  </si>
  <si>
    <t>Mức Lương</t>
  </si>
  <si>
    <t>Phụ cấp</t>
  </si>
  <si>
    <t>Tiến lương</t>
  </si>
  <si>
    <t>kiều Trinh</t>
  </si>
  <si>
    <t>CH-2</t>
  </si>
  <si>
    <t>Minh Hà</t>
  </si>
  <si>
    <t>TC-1</t>
  </si>
  <si>
    <t>Kim Thúy</t>
  </si>
  <si>
    <t>TN-1</t>
  </si>
  <si>
    <t>Bích Vân</t>
  </si>
  <si>
    <t>XX-2</t>
  </si>
  <si>
    <t>Tiến Hoàn</t>
  </si>
  <si>
    <t>Mỹ Vy</t>
  </si>
  <si>
    <t>TỔNG CỘNG</t>
  </si>
  <si>
    <t>BẢNG TRA TÊN VÀ ĐƠN GIÁ SẢN PHẨM</t>
  </si>
  <si>
    <t>Mã SP</t>
  </si>
  <si>
    <t>CH</t>
  </si>
  <si>
    <t>TC</t>
  </si>
  <si>
    <t>TN</t>
  </si>
  <si>
    <t>XX</t>
  </si>
  <si>
    <t>Tên SP</t>
  </si>
  <si>
    <t>Cá Hộp</t>
  </si>
  <si>
    <t>Trái Cây Hộp</t>
  </si>
  <si>
    <t>Thịt Nguội</t>
  </si>
  <si>
    <t>Xúc Xích</t>
  </si>
  <si>
    <t>loại 1</t>
  </si>
  <si>
    <t>Loại 2</t>
  </si>
  <si>
    <t>DANH MỤC MẶT HÀNG</t>
  </si>
  <si>
    <t>Mã Mặt hàng</t>
  </si>
  <si>
    <t>tên mặt hàng</t>
  </si>
  <si>
    <t>sl</t>
  </si>
  <si>
    <t>đơn giá</t>
  </si>
  <si>
    <t>kh mãi</t>
  </si>
  <si>
    <t>Th tiền</t>
  </si>
  <si>
    <t>Đ Gía</t>
  </si>
  <si>
    <t>AO107</t>
  </si>
  <si>
    <t>AO597</t>
  </si>
  <si>
    <t>TK231</t>
  </si>
  <si>
    <t>H0181</t>
  </si>
  <si>
    <t>Huy hiệu đ</t>
  </si>
  <si>
    <t>CA89</t>
  </si>
  <si>
    <t>Khẩu trang cũ</t>
  </si>
  <si>
    <t>BA577</t>
  </si>
  <si>
    <t>áo khoát</t>
  </si>
  <si>
    <t>cờ đoàn</t>
  </si>
  <si>
    <t>Bảng kê mặt hàng</t>
  </si>
  <si>
    <t>Áo thun</t>
  </si>
  <si>
    <t>áo smi</t>
  </si>
  <si>
    <t>PHIÉU GIAO NHẬN</t>
  </si>
  <si>
    <t>SẢN PHẨM</t>
  </si>
  <si>
    <t>Mã SẢN PHẨM</t>
  </si>
  <si>
    <t>TÊN SP
(1)</t>
  </si>
  <si>
    <t>số lượng</t>
  </si>
  <si>
    <t>đơn giá
(2)</t>
  </si>
  <si>
    <t>kh mãi
(3)</t>
  </si>
  <si>
    <t>Th tiền
(4)</t>
  </si>
  <si>
    <t>TÊN SP</t>
  </si>
  <si>
    <t>XB01</t>
  </si>
  <si>
    <t>XÀ BÔNG</t>
  </si>
  <si>
    <t>S001</t>
  </si>
  <si>
    <t>Nước</t>
  </si>
  <si>
    <t>T001</t>
  </si>
  <si>
    <t>T002</t>
  </si>
  <si>
    <t>súp Knor</t>
  </si>
  <si>
    <t>Thực phẩm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</si>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</sst>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₫_-;\-* #,##0.00\ _₫_-;_-* &quot;-&quot;??\ _₫_-;_-@_-"/>
    <numFmt numFmtId="164" formatCode="_-* #,##0.00\ _V_N_Đ_-;\-* #,##0.00\ _V_N_Đ_-;_-* &quot;-&quot;??\ _V_N_Đ_-;_-@_-"/>
    <numFmt numFmtId="165" formatCode="_-* #,##0\ _V_N_Đ_-;\-* #,##0\ _V_N_Đ_-;_-* &quot;-&quot;??\ _V_N_Đ_-;_-@_-"/>
    <numFmt numFmtId="166" formatCode="_-* #,##0\ [$USD]_-;\-* #,##0\ [$USD]_-;_-* &quot;-&quot;??\ [$USD]_-;_-@_-"/>
    <numFmt numFmtId="167" formatCode="_-* #,##0\ _₫_-;\-* #,##0\ _₫_-;_-* &quot;-&quot;??\ _₫_-;_-@_-"/>
    <numFmt numFmtId="168" formatCode="#,##0.000"/>
  </numFmts>
  <fonts count="28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rgb="FFFF0000"/>
      <name val="Calibri"/>
      <family val="2"/>
      <charset val="163"/>
      <scheme val="minor"/>
    </font>
    <font>
      <sz val="12"/>
      <color rgb="FF00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Times New Roman"/>
      <family val="2"/>
    </font>
    <font>
      <u/>
      <sz val="12"/>
      <color theme="1"/>
      <name val="Times New Roman"/>
      <family val="2"/>
      <charset val="163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rgb="FFC00000"/>
      <name val="Times New Roman"/>
      <family val="1"/>
    </font>
    <font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4"/>
      <color theme="1"/>
      <name val="Calibri"/>
      <family val="2"/>
      <charset val="163"/>
      <scheme val="minor"/>
    </font>
    <font>
      <sz val="14"/>
      <color theme="1"/>
      <name val="Times New Roman"/>
      <family val="2"/>
      <charset val="163"/>
    </font>
    <font>
      <b/>
      <i/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left"/>
    </xf>
    <xf numFmtId="1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 wrapText="1"/>
    </xf>
    <xf numFmtId="165" fontId="6" fillId="0" borderId="3" xfId="1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0" fillId="0" borderId="0" xfId="0"/>
    <xf numFmtId="0" fontId="0" fillId="0" borderId="1" xfId="0" applyBorder="1"/>
    <xf numFmtId="0" fontId="4" fillId="0" borderId="0" xfId="0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right"/>
    </xf>
    <xf numFmtId="0" fontId="2" fillId="0" borderId="0" xfId="2" applyAlignment="1">
      <alignment horizontal="center"/>
    </xf>
    <xf numFmtId="0" fontId="2" fillId="0" borderId="0" xfId="2"/>
    <xf numFmtId="0" fontId="2" fillId="0" borderId="0" xfId="2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wrapText="1"/>
    </xf>
    <xf numFmtId="0" fontId="11" fillId="0" borderId="1" xfId="2" applyFont="1" applyBorder="1"/>
    <xf numFmtId="0" fontId="2" fillId="4" borderId="0" xfId="2" applyFill="1" applyAlignment="1">
      <alignment horizontal="center" vertical="center" wrapText="1"/>
    </xf>
    <xf numFmtId="0" fontId="2" fillId="5" borderId="0" xfId="2" applyFill="1" applyAlignment="1">
      <alignment horizontal="center" vertical="center" wrapText="1"/>
    </xf>
    <xf numFmtId="0" fontId="2" fillId="0" borderId="1" xfId="2" applyBorder="1" applyAlignment="1">
      <alignment horizontal="center"/>
    </xf>
    <xf numFmtId="0" fontId="2" fillId="0" borderId="1" xfId="2" applyBorder="1"/>
    <xf numFmtId="166" fontId="2" fillId="0" borderId="1" xfId="2" applyNumberFormat="1" applyBorder="1"/>
    <xf numFmtId="0" fontId="2" fillId="4" borderId="0" xfId="2" applyFill="1" applyAlignment="1">
      <alignment horizontal="center" vertical="center"/>
    </xf>
    <xf numFmtId="0" fontId="2" fillId="5" borderId="0" xfId="2" applyFill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2" fillId="3" borderId="1" xfId="2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 wrapText="1"/>
    </xf>
    <xf numFmtId="0" fontId="2" fillId="6" borderId="1" xfId="2" applyFill="1" applyBorder="1" applyAlignment="1">
      <alignment horizontal="center" vertical="center"/>
    </xf>
    <xf numFmtId="0" fontId="2" fillId="3" borderId="1" xfId="2" applyFill="1" applyBorder="1"/>
    <xf numFmtId="0" fontId="2" fillId="6" borderId="1" xfId="2" applyFill="1" applyBorder="1"/>
    <xf numFmtId="0" fontId="1" fillId="0" borderId="5" xfId="3" applyBorder="1" applyAlignment="1"/>
    <xf numFmtId="0" fontId="1" fillId="0" borderId="6" xfId="3" applyBorder="1" applyAlignment="1"/>
    <xf numFmtId="0" fontId="1" fillId="0" borderId="0" xfId="3"/>
    <xf numFmtId="0" fontId="1" fillId="0" borderId="7" xfId="3" applyBorder="1" applyAlignment="1"/>
    <xf numFmtId="0" fontId="1" fillId="0" borderId="0" xfId="3" applyBorder="1" applyAlignment="1"/>
    <xf numFmtId="0" fontId="1" fillId="0" borderId="8" xfId="3" applyBorder="1" applyAlignment="1"/>
    <xf numFmtId="0" fontId="1" fillId="0" borderId="9" xfId="3" applyBorder="1" applyAlignment="1"/>
    <xf numFmtId="0" fontId="11" fillId="0" borderId="1" xfId="3" applyFont="1" applyBorder="1" applyAlignment="1">
      <alignment horizontal="center" vertical="center"/>
    </xf>
    <xf numFmtId="0" fontId="1" fillId="0" borderId="0" xfId="3" applyAlignment="1">
      <alignment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/>
    </xf>
    <xf numFmtId="0" fontId="12" fillId="0" borderId="1" xfId="3" applyFont="1" applyBorder="1" applyAlignment="1">
      <alignment horizontal="center"/>
    </xf>
    <xf numFmtId="14" fontId="11" fillId="0" borderId="1" xfId="3" applyNumberFormat="1" applyFont="1" applyBorder="1" applyAlignment="1">
      <alignment horizontal="center"/>
    </xf>
    <xf numFmtId="167" fontId="13" fillId="0" borderId="1" xfId="4" applyNumberFormat="1" applyFont="1" applyBorder="1" applyAlignment="1">
      <alignment horizontal="center"/>
    </xf>
    <xf numFmtId="167" fontId="13" fillId="0" borderId="1" xfId="3" applyNumberFormat="1" applyFont="1" applyBorder="1" applyAlignment="1">
      <alignment horizontal="center"/>
    </xf>
    <xf numFmtId="0" fontId="11" fillId="0" borderId="0" xfId="3" applyFont="1"/>
    <xf numFmtId="0" fontId="11" fillId="0" borderId="1" xfId="3" applyFont="1" applyBorder="1" applyAlignment="1">
      <alignment horizontal="left"/>
    </xf>
    <xf numFmtId="0" fontId="1" fillId="0" borderId="1" xfId="3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0" borderId="1" xfId="0" applyNumberFormat="1" applyBorder="1"/>
    <xf numFmtId="0" fontId="0" fillId="0" borderId="1" xfId="0" applyBorder="1" applyAlignment="1"/>
    <xf numFmtId="0" fontId="0" fillId="0" borderId="1" xfId="0" applyFill="1" applyBorder="1"/>
    <xf numFmtId="0" fontId="0" fillId="0" borderId="0" xfId="0" applyBorder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4" fillId="0" borderId="0" xfId="0" applyFont="1"/>
    <xf numFmtId="0" fontId="0" fillId="7" borderId="1" xfId="0" applyFill="1" applyBorder="1"/>
    <xf numFmtId="20" fontId="0" fillId="7" borderId="1" xfId="0" applyNumberFormat="1" applyFill="1" applyBorder="1"/>
    <xf numFmtId="0" fontId="0" fillId="7" borderId="0" xfId="0" applyFill="1"/>
    <xf numFmtId="0" fontId="12" fillId="0" borderId="0" xfId="0" applyFont="1"/>
    <xf numFmtId="0" fontId="0" fillId="0" borderId="1" xfId="0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8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1" fillId="5" borderId="1" xfId="2" applyFont="1" applyFill="1" applyBorder="1"/>
    <xf numFmtId="0" fontId="11" fillId="3" borderId="1" xfId="2" applyFont="1" applyFill="1" applyBorder="1"/>
    <xf numFmtId="0" fontId="11" fillId="9" borderId="1" xfId="2" applyFont="1" applyFill="1" applyBorder="1"/>
    <xf numFmtId="0" fontId="11" fillId="9" borderId="1" xfId="2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3" fontId="16" fillId="9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/>
    <xf numFmtId="0" fontId="23" fillId="0" borderId="0" xfId="0" applyFont="1"/>
    <xf numFmtId="0" fontId="23" fillId="0" borderId="1" xfId="0" applyFont="1" applyBorder="1"/>
    <xf numFmtId="0" fontId="23" fillId="5" borderId="1" xfId="0" applyFont="1" applyFill="1" applyBorder="1"/>
    <xf numFmtId="0" fontId="23" fillId="0" borderId="1" xfId="0" applyFont="1" applyFill="1" applyBorder="1"/>
    <xf numFmtId="22" fontId="23" fillId="0" borderId="1" xfId="0" applyNumberFormat="1" applyFont="1" applyBorder="1"/>
    <xf numFmtId="0" fontId="23" fillId="0" borderId="1" xfId="0" applyFont="1" applyFill="1" applyBorder="1" applyAlignment="1">
      <alignment horizontal="right"/>
    </xf>
    <xf numFmtId="0" fontId="22" fillId="0" borderId="1" xfId="0" applyFont="1" applyBorder="1"/>
    <xf numFmtId="0" fontId="24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25" fillId="0" borderId="1" xfId="0" applyFont="1" applyFill="1" applyBorder="1" applyAlignment="1">
      <alignment horizontal="center" wrapText="1"/>
    </xf>
    <xf numFmtId="0" fontId="25" fillId="5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5" fillId="0" borderId="1" xfId="0" applyFont="1" applyBorder="1"/>
    <xf numFmtId="0" fontId="25" fillId="5" borderId="1" xfId="0" applyFont="1" applyFill="1" applyBorder="1"/>
    <xf numFmtId="0" fontId="26" fillId="0" borderId="1" xfId="0" applyFont="1" applyFill="1" applyBorder="1"/>
    <xf numFmtId="167" fontId="26" fillId="0" borderId="1" xfId="1" applyNumberFormat="1" applyFont="1" applyFill="1" applyBorder="1"/>
    <xf numFmtId="0" fontId="26" fillId="0" borderId="1" xfId="0" applyFont="1" applyBorder="1"/>
    <xf numFmtId="0" fontId="27" fillId="0" borderId="1" xfId="0" applyFont="1" applyBorder="1"/>
    <xf numFmtId="22" fontId="25" fillId="0" borderId="1" xfId="0" applyNumberFormat="1" applyFont="1" applyBorder="1"/>
    <xf numFmtId="167" fontId="25" fillId="0" borderId="1" xfId="1" applyNumberFormat="1" applyFont="1" applyBorder="1" applyAlignment="1"/>
    <xf numFmtId="0" fontId="25" fillId="0" borderId="1" xfId="0" applyFont="1" applyFill="1" applyBorder="1"/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P8" sqref="P8"/>
    </sheetView>
  </sheetViews>
  <sheetFormatPr defaultColWidth="9" defaultRowHeight="25.5" customHeight="1" x14ac:dyDescent="0.25"/>
  <cols>
    <col min="1" max="1" width="5.42578125" style="22" customWidth="1"/>
    <col min="2" max="2" width="9" style="22"/>
    <col min="3" max="3" width="11.28515625" style="22" customWidth="1"/>
    <col min="4" max="4" width="3.7109375" style="22" customWidth="1"/>
    <col min="5" max="5" width="6.42578125" style="22" bestFit="1" customWidth="1"/>
    <col min="6" max="6" width="8" style="22" customWidth="1"/>
    <col min="7" max="7" width="11.28515625" style="22" customWidth="1"/>
    <col min="8" max="9" width="9.42578125" style="22" customWidth="1"/>
    <col min="10" max="10" width="10.42578125" style="22" customWidth="1"/>
    <col min="11" max="11" width="12" style="22" customWidth="1"/>
    <col min="12" max="12" width="15.5703125" style="25" customWidth="1"/>
    <col min="13" max="13" width="11.7109375" style="22" customWidth="1"/>
    <col min="14" max="16384" width="9" style="22"/>
  </cols>
  <sheetData>
    <row r="1" spans="1:13" ht="25.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6"/>
      <c r="M1" s="16"/>
    </row>
    <row r="2" spans="1:13" ht="25.5" customHeight="1" x14ac:dyDescent="0.25">
      <c r="A2" s="3" t="s">
        <v>1</v>
      </c>
      <c r="B2" s="3" t="s">
        <v>2</v>
      </c>
      <c r="C2" s="112" t="s">
        <v>3</v>
      </c>
      <c r="D2" s="113"/>
      <c r="E2" s="10" t="s">
        <v>4</v>
      </c>
      <c r="F2" s="10" t="s">
        <v>5</v>
      </c>
      <c r="G2" s="15" t="s">
        <v>6</v>
      </c>
      <c r="H2" s="14" t="s">
        <v>127</v>
      </c>
      <c r="I2" s="10" t="s">
        <v>128</v>
      </c>
      <c r="J2" s="10" t="s">
        <v>9</v>
      </c>
      <c r="K2" s="14" t="s">
        <v>10</v>
      </c>
      <c r="L2" s="11" t="s">
        <v>40</v>
      </c>
      <c r="M2" s="11" t="s">
        <v>32</v>
      </c>
    </row>
    <row r="3" spans="1:13" ht="25.5" customHeight="1" x14ac:dyDescent="0.25">
      <c r="A3" s="4">
        <v>1</v>
      </c>
      <c r="B3" s="5" t="s">
        <v>11</v>
      </c>
      <c r="C3" s="5" t="s">
        <v>12</v>
      </c>
      <c r="D3" s="5" t="s">
        <v>13</v>
      </c>
      <c r="E3" s="18">
        <v>5</v>
      </c>
      <c r="F3" s="19">
        <v>100</v>
      </c>
      <c r="G3" s="20">
        <f>F3-E3</f>
        <v>95</v>
      </c>
      <c r="H3" s="21">
        <f xml:space="preserve"> IF(G3&gt;L3, G3-L3, 0)</f>
        <v>0</v>
      </c>
      <c r="I3" s="23">
        <f>IF(H3&gt;0,       (L3*1000) + (H3*2000),     G3*1000)</f>
        <v>95000</v>
      </c>
      <c r="J3" s="5">
        <f>IF(H3&gt;0, H3*2000, 0)</f>
        <v>0</v>
      </c>
      <c r="K3" s="4" t="str">
        <f>IF(H3&lt;=0, "TK điện", " ")</f>
        <v>TK điện</v>
      </c>
      <c r="L3" s="12">
        <f>HLOOKUP(      M3,     $E$9:$G$10,   2,  0)</f>
        <v>100</v>
      </c>
      <c r="M3" s="12" t="str">
        <f>LEFT(B3,2)</f>
        <v>GD</v>
      </c>
    </row>
    <row r="4" spans="1:13" ht="25.5" customHeight="1" x14ac:dyDescent="0.25">
      <c r="A4" s="4">
        <v>2</v>
      </c>
      <c r="B4" s="5" t="s">
        <v>14</v>
      </c>
      <c r="C4" s="5" t="s">
        <v>15</v>
      </c>
      <c r="D4" s="5" t="s">
        <v>16</v>
      </c>
      <c r="E4" s="18">
        <v>10</v>
      </c>
      <c r="F4" s="19">
        <v>211</v>
      </c>
      <c r="G4" s="20">
        <f>F4-E4</f>
        <v>201</v>
      </c>
      <c r="H4" s="21"/>
      <c r="I4" s="23"/>
      <c r="J4" s="5"/>
      <c r="K4" s="4"/>
      <c r="L4" s="12">
        <f t="shared" ref="L4:L7" si="0">HLOOKUP(      M4,     $E$9:$G$10,   2,  0)</f>
        <v>200</v>
      </c>
      <c r="M4" s="12" t="str">
        <f t="shared" ref="M4:M7" si="1">LEFT(B4,2)</f>
        <v>KD</v>
      </c>
    </row>
    <row r="5" spans="1:13" ht="25.5" customHeight="1" x14ac:dyDescent="0.25">
      <c r="A5" s="4">
        <v>3</v>
      </c>
      <c r="B5" s="5" t="s">
        <v>17</v>
      </c>
      <c r="C5" s="5" t="s">
        <v>18</v>
      </c>
      <c r="D5" s="5" t="s">
        <v>19</v>
      </c>
      <c r="E5" s="18">
        <v>15</v>
      </c>
      <c r="F5" s="19">
        <v>316</v>
      </c>
      <c r="G5" s="20">
        <f t="shared" ref="G5:G7" si="2">F5-E5</f>
        <v>301</v>
      </c>
      <c r="H5" s="21"/>
      <c r="I5" s="23"/>
      <c r="J5" s="5"/>
      <c r="K5" s="4"/>
      <c r="L5" s="12">
        <f t="shared" si="0"/>
        <v>300</v>
      </c>
      <c r="M5" s="12" t="str">
        <f t="shared" si="1"/>
        <v>SX</v>
      </c>
    </row>
    <row r="6" spans="1:13" ht="25.5" customHeight="1" x14ac:dyDescent="0.25">
      <c r="A6" s="4">
        <v>4</v>
      </c>
      <c r="B6" s="5" t="s">
        <v>20</v>
      </c>
      <c r="C6" s="5" t="s">
        <v>21</v>
      </c>
      <c r="D6" s="5" t="s">
        <v>22</v>
      </c>
      <c r="E6" s="18">
        <v>30</v>
      </c>
      <c r="F6" s="19">
        <v>140</v>
      </c>
      <c r="G6" s="20">
        <f t="shared" si="2"/>
        <v>110</v>
      </c>
      <c r="H6" s="21"/>
      <c r="I6" s="23"/>
      <c r="J6" s="5"/>
      <c r="K6" s="4"/>
      <c r="L6" s="12">
        <f t="shared" si="0"/>
        <v>100</v>
      </c>
      <c r="M6" s="12" t="str">
        <f t="shared" si="1"/>
        <v>GD</v>
      </c>
    </row>
    <row r="7" spans="1:13" ht="25.5" customHeight="1" x14ac:dyDescent="0.25">
      <c r="A7" s="4">
        <v>5</v>
      </c>
      <c r="B7" s="5" t="s">
        <v>23</v>
      </c>
      <c r="C7" s="5" t="s">
        <v>24</v>
      </c>
      <c r="D7" s="5" t="s">
        <v>25</v>
      </c>
      <c r="E7" s="18">
        <v>50</v>
      </c>
      <c r="F7" s="19">
        <v>150</v>
      </c>
      <c r="G7" s="20">
        <f t="shared" si="2"/>
        <v>100</v>
      </c>
      <c r="H7" s="21"/>
      <c r="I7" s="23"/>
      <c r="J7" s="5"/>
      <c r="K7" s="4"/>
      <c r="L7" s="12">
        <f t="shared" si="0"/>
        <v>100</v>
      </c>
      <c r="M7" s="12" t="str">
        <f t="shared" si="1"/>
        <v>GD</v>
      </c>
    </row>
    <row r="8" spans="1:13" ht="25.5" customHeight="1" x14ac:dyDescent="0.25">
      <c r="A8" s="2"/>
      <c r="B8" s="13"/>
      <c r="C8" s="1" t="s">
        <v>26</v>
      </c>
      <c r="D8" s="2"/>
      <c r="G8" s="20"/>
      <c r="K8" s="2"/>
      <c r="L8" s="24"/>
    </row>
    <row r="9" spans="1:13" ht="25.5" customHeight="1" x14ac:dyDescent="0.25">
      <c r="A9" s="1"/>
      <c r="C9" s="114" t="s">
        <v>27</v>
      </c>
      <c r="D9" s="114"/>
      <c r="E9" s="6" t="s">
        <v>28</v>
      </c>
      <c r="F9" s="7" t="s">
        <v>29</v>
      </c>
      <c r="G9" s="6" t="s">
        <v>30</v>
      </c>
      <c r="I9" s="10" t="s">
        <v>6</v>
      </c>
      <c r="J9" s="17" t="s">
        <v>38</v>
      </c>
      <c r="K9" s="2"/>
      <c r="L9" s="24"/>
    </row>
    <row r="10" spans="1:13" ht="25.5" customHeight="1" x14ac:dyDescent="0.25">
      <c r="A10" s="1"/>
      <c r="C10" s="114" t="s">
        <v>31</v>
      </c>
      <c r="D10" s="114"/>
      <c r="E10" s="8">
        <v>100</v>
      </c>
      <c r="F10" s="9">
        <v>200</v>
      </c>
      <c r="G10" s="8">
        <v>300</v>
      </c>
      <c r="I10" s="10" t="s">
        <v>7</v>
      </c>
      <c r="J10" s="22" t="s">
        <v>35</v>
      </c>
      <c r="K10" s="2"/>
      <c r="L10" s="24"/>
    </row>
    <row r="11" spans="1:13" ht="25.5" customHeight="1" x14ac:dyDescent="0.25">
      <c r="I11" s="10" t="s">
        <v>8</v>
      </c>
      <c r="J11" s="22" t="s">
        <v>41</v>
      </c>
      <c r="L11" s="24"/>
    </row>
    <row r="12" spans="1:13" ht="25.5" customHeight="1" x14ac:dyDescent="0.25">
      <c r="A12" s="115" t="s">
        <v>42</v>
      </c>
      <c r="B12" s="115"/>
      <c r="C12" s="115"/>
      <c r="D12" s="115"/>
      <c r="E12" s="115"/>
      <c r="F12" s="115"/>
      <c r="G12" s="115"/>
      <c r="I12" s="10" t="s">
        <v>9</v>
      </c>
      <c r="J12" s="22" t="s">
        <v>43</v>
      </c>
      <c r="L12" s="24"/>
    </row>
    <row r="13" spans="1:13" ht="25.5" customHeight="1" x14ac:dyDescent="0.25">
      <c r="A13" s="115"/>
      <c r="B13" s="115"/>
      <c r="C13" s="115"/>
      <c r="D13" s="115"/>
      <c r="E13" s="115"/>
      <c r="F13" s="115"/>
      <c r="G13" s="115"/>
      <c r="I13" s="10" t="s">
        <v>10</v>
      </c>
      <c r="J13" s="22" t="s">
        <v>44</v>
      </c>
      <c r="L13" s="24"/>
    </row>
    <row r="14" spans="1:13" ht="25.5" customHeight="1" x14ac:dyDescent="0.25">
      <c r="A14" s="115"/>
      <c r="B14" s="115"/>
      <c r="C14" s="115"/>
      <c r="D14" s="115"/>
      <c r="E14" s="115"/>
      <c r="F14" s="115"/>
      <c r="G14" s="115"/>
      <c r="I14" s="26" t="s">
        <v>33</v>
      </c>
      <c r="J14" s="22" t="s">
        <v>36</v>
      </c>
      <c r="L14" s="24"/>
    </row>
    <row r="15" spans="1:13" ht="25.5" customHeight="1" x14ac:dyDescent="0.25">
      <c r="A15" s="115"/>
      <c r="B15" s="115"/>
      <c r="C15" s="115"/>
      <c r="D15" s="115"/>
      <c r="E15" s="115"/>
      <c r="F15" s="115"/>
      <c r="G15" s="115"/>
      <c r="I15" s="26" t="s">
        <v>34</v>
      </c>
      <c r="J15" s="22" t="s">
        <v>37</v>
      </c>
      <c r="L15" s="24"/>
    </row>
    <row r="16" spans="1:13" ht="25.5" customHeight="1" x14ac:dyDescent="0.25">
      <c r="A16" s="115"/>
      <c r="B16" s="115"/>
      <c r="C16" s="115"/>
      <c r="D16" s="115"/>
      <c r="E16" s="115"/>
      <c r="F16" s="115"/>
      <c r="G16" s="115"/>
      <c r="L16" s="24"/>
    </row>
    <row r="17" spans="2:12" ht="25.5" customHeight="1" x14ac:dyDescent="0.25">
      <c r="B17" s="22" t="s">
        <v>39</v>
      </c>
      <c r="L17" s="24"/>
    </row>
  </sheetData>
  <mergeCells count="5">
    <mergeCell ref="A1:K1"/>
    <mergeCell ref="C2:D2"/>
    <mergeCell ref="C9:D9"/>
    <mergeCell ref="C10:D10"/>
    <mergeCell ref="A12:G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60" zoomScaleNormal="160" workbookViewId="0">
      <selection activeCell="G13" sqref="G13"/>
    </sheetView>
  </sheetViews>
  <sheetFormatPr defaultRowHeight="15" x14ac:dyDescent="0.25"/>
  <cols>
    <col min="2" max="2" width="14.42578125" customWidth="1"/>
  </cols>
  <sheetData>
    <row r="1" spans="1:6" ht="15.75" x14ac:dyDescent="0.25">
      <c r="A1" s="78" t="s">
        <v>194</v>
      </c>
      <c r="B1" s="22"/>
      <c r="C1" s="22"/>
      <c r="D1" s="22"/>
      <c r="E1" s="22"/>
      <c r="F1" s="22"/>
    </row>
    <row r="2" spans="1:6" ht="15.75" x14ac:dyDescent="0.25">
      <c r="A2" s="119" t="s">
        <v>195</v>
      </c>
      <c r="B2" s="119"/>
      <c r="C2" s="119"/>
      <c r="D2" s="119"/>
      <c r="E2" s="119"/>
      <c r="F2" s="119"/>
    </row>
    <row r="3" spans="1:6" ht="30" x14ac:dyDescent="0.25">
      <c r="A3" s="79" t="s">
        <v>196</v>
      </c>
      <c r="B3" s="80" t="s">
        <v>197</v>
      </c>
      <c r="C3" s="79" t="s">
        <v>198</v>
      </c>
      <c r="D3" s="83" t="s">
        <v>199</v>
      </c>
      <c r="E3" s="79" t="s">
        <v>200</v>
      </c>
      <c r="F3" s="83" t="s">
        <v>173</v>
      </c>
    </row>
    <row r="4" spans="1:6" x14ac:dyDescent="0.25">
      <c r="A4" s="69" t="s">
        <v>201</v>
      </c>
      <c r="B4" s="23" t="str">
        <f>VLOOKUP(A4, $A$11:$B$14,  2,  0)</f>
        <v>đầu ghi hình</v>
      </c>
      <c r="C4" s="23">
        <v>30</v>
      </c>
      <c r="D4" s="23">
        <f>VLOOKUP(A4,$A$10:$C$14,3,0)</f>
        <v>6800</v>
      </c>
      <c r="E4" s="23">
        <f>IF(C4&gt;=20,4, IF(C4&gt;=15, 3, IF(C4&gt;=10, 2, IF(C4&gt;=5,1, 0))))</f>
        <v>4</v>
      </c>
      <c r="F4" s="23">
        <f>C4*D4</f>
        <v>204000</v>
      </c>
    </row>
    <row r="5" spans="1:6" x14ac:dyDescent="0.25">
      <c r="A5" s="23" t="s">
        <v>202</v>
      </c>
      <c r="B5" s="23" t="str">
        <f t="shared" ref="B5:B7" si="0">VLOOKUP(A5, $A$11:$B$14,  2,  0)</f>
        <v>Camera</v>
      </c>
      <c r="C5" s="23">
        <v>10</v>
      </c>
      <c r="D5" s="23">
        <f t="shared" ref="D5:D7" si="1">VLOOKUP(A5,$A$10:$C$14,3,0)</f>
        <v>2100</v>
      </c>
      <c r="E5" s="23">
        <f t="shared" ref="E5:E7" si="2">IF(C5&gt;=20,4, IF(C5&gt;=15, 3, IF(C5&gt;=10, 2, IF(C5&gt;=5,1, 0))))</f>
        <v>2</v>
      </c>
      <c r="F5" s="23">
        <f t="shared" ref="F5:F7" si="3">C5*D5</f>
        <v>21000</v>
      </c>
    </row>
    <row r="6" spans="1:6" x14ac:dyDescent="0.25">
      <c r="A6" s="23" t="s">
        <v>203</v>
      </c>
      <c r="B6" s="23" t="str">
        <f t="shared" si="0"/>
        <v>Đồng hồ đo</v>
      </c>
      <c r="C6" s="23">
        <v>1</v>
      </c>
      <c r="D6" s="23">
        <f t="shared" si="1"/>
        <v>198</v>
      </c>
      <c r="E6" s="23">
        <f t="shared" si="2"/>
        <v>0</v>
      </c>
      <c r="F6" s="23">
        <f t="shared" si="3"/>
        <v>198</v>
      </c>
    </row>
    <row r="7" spans="1:6" x14ac:dyDescent="0.25">
      <c r="A7" s="23" t="s">
        <v>204</v>
      </c>
      <c r="B7" s="23" t="str">
        <f t="shared" si="0"/>
        <v>Máy khoan 21v</v>
      </c>
      <c r="C7" s="23">
        <v>16</v>
      </c>
      <c r="D7" s="23">
        <f t="shared" si="1"/>
        <v>800</v>
      </c>
      <c r="E7" s="23">
        <f t="shared" si="2"/>
        <v>3</v>
      </c>
      <c r="F7" s="23">
        <f t="shared" si="3"/>
        <v>12800</v>
      </c>
    </row>
    <row r="8" spans="1:6" x14ac:dyDescent="0.25">
      <c r="A8" s="23"/>
      <c r="B8" s="23"/>
      <c r="C8" s="23"/>
      <c r="D8" s="23"/>
      <c r="E8" s="23" t="s">
        <v>210</v>
      </c>
      <c r="F8" s="81">
        <f>SUM(F4:F7)</f>
        <v>237998</v>
      </c>
    </row>
    <row r="9" spans="1:6" x14ac:dyDescent="0.25">
      <c r="A9" s="22"/>
      <c r="B9" s="22" t="s">
        <v>205</v>
      </c>
      <c r="C9" s="22"/>
      <c r="D9" s="22"/>
      <c r="E9" s="22"/>
      <c r="F9" s="22"/>
    </row>
    <row r="10" spans="1:6" x14ac:dyDescent="0.25">
      <c r="A10" s="82" t="s">
        <v>196</v>
      </c>
      <c r="B10" s="66" t="s">
        <v>197</v>
      </c>
      <c r="C10" s="66" t="s">
        <v>170</v>
      </c>
      <c r="D10" s="22"/>
      <c r="E10" s="22"/>
      <c r="F10" s="22"/>
    </row>
    <row r="11" spans="1:6" x14ac:dyDescent="0.25">
      <c r="A11" s="23" t="s">
        <v>204</v>
      </c>
      <c r="B11" s="23" t="s">
        <v>206</v>
      </c>
      <c r="C11" s="23">
        <v>800</v>
      </c>
      <c r="D11" s="22"/>
      <c r="E11" s="22"/>
      <c r="F11" s="22"/>
    </row>
    <row r="12" spans="1:6" x14ac:dyDescent="0.25">
      <c r="A12" s="23" t="s">
        <v>202</v>
      </c>
      <c r="B12" s="23" t="s">
        <v>207</v>
      </c>
      <c r="C12" s="23">
        <v>2100</v>
      </c>
      <c r="D12" s="22"/>
      <c r="E12" s="22"/>
      <c r="F12" s="22"/>
    </row>
    <row r="13" spans="1:6" x14ac:dyDescent="0.25">
      <c r="A13" s="23" t="s">
        <v>201</v>
      </c>
      <c r="B13" s="23" t="s">
        <v>208</v>
      </c>
      <c r="C13" s="23">
        <v>6800</v>
      </c>
      <c r="D13" s="22"/>
      <c r="E13" s="22"/>
      <c r="F13" s="22"/>
    </row>
    <row r="14" spans="1:6" x14ac:dyDescent="0.25">
      <c r="A14" s="23" t="s">
        <v>203</v>
      </c>
      <c r="B14" s="23" t="s">
        <v>209</v>
      </c>
      <c r="C14" s="23">
        <v>198</v>
      </c>
      <c r="D14" s="22"/>
      <c r="E14" s="22"/>
      <c r="F14" s="22"/>
    </row>
    <row r="15" spans="1:6" x14ac:dyDescent="0.25">
      <c r="A15" s="22"/>
      <c r="B15" s="22"/>
      <c r="C15" s="22"/>
      <c r="D15" s="22"/>
      <c r="E15" s="22"/>
      <c r="F15" s="22"/>
    </row>
  </sheetData>
  <mergeCells count="1"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K15" sqref="K15"/>
    </sheetView>
  </sheetViews>
  <sheetFormatPr defaultRowHeight="30" customHeight="1" x14ac:dyDescent="0.25"/>
  <cols>
    <col min="2" max="2" width="14.7109375" customWidth="1"/>
    <col min="6" max="6" width="10.28515625" customWidth="1"/>
    <col min="9" max="9" width="11.42578125" customWidth="1"/>
    <col min="10" max="10" width="12" customWidth="1"/>
    <col min="11" max="11" width="13" customWidth="1"/>
  </cols>
  <sheetData>
    <row r="1" spans="1:14" ht="30" customHeight="1" x14ac:dyDescent="0.3">
      <c r="A1" s="87"/>
      <c r="B1" s="87"/>
      <c r="C1" s="88"/>
      <c r="D1" s="88" t="s">
        <v>240</v>
      </c>
      <c r="E1" s="88"/>
      <c r="F1" s="87"/>
      <c r="G1" s="87"/>
      <c r="H1" s="87"/>
      <c r="I1" s="87"/>
      <c r="J1" s="87"/>
      <c r="K1" s="87"/>
      <c r="L1" s="89"/>
      <c r="M1" s="22"/>
      <c r="N1" s="22"/>
    </row>
    <row r="2" spans="1:14" s="94" customFormat="1" ht="46.5" customHeight="1" x14ac:dyDescent="0.3">
      <c r="A2" s="93" t="s">
        <v>241</v>
      </c>
      <c r="B2" s="93" t="s">
        <v>242</v>
      </c>
      <c r="C2" s="93" t="s">
        <v>243</v>
      </c>
      <c r="D2" s="93" t="s">
        <v>244</v>
      </c>
      <c r="E2" s="93" t="s">
        <v>245</v>
      </c>
      <c r="F2" s="93" t="s">
        <v>246</v>
      </c>
      <c r="G2" s="93" t="s">
        <v>247</v>
      </c>
      <c r="H2" s="93" t="s">
        <v>248</v>
      </c>
      <c r="I2" s="93" t="s">
        <v>249</v>
      </c>
      <c r="J2" s="95" t="s">
        <v>269</v>
      </c>
      <c r="K2" s="95" t="s">
        <v>270</v>
      </c>
      <c r="L2" s="89"/>
      <c r="M2" s="22"/>
      <c r="N2" s="22"/>
    </row>
    <row r="3" spans="1:14" ht="24" customHeight="1" x14ac:dyDescent="0.3">
      <c r="A3" s="91" t="s">
        <v>250</v>
      </c>
      <c r="B3" s="91" t="s">
        <v>251</v>
      </c>
      <c r="C3" s="91" t="s">
        <v>13</v>
      </c>
      <c r="D3" s="91" t="s">
        <v>252</v>
      </c>
      <c r="E3" s="91">
        <f>VLOOKUP(A3,$A$12:$D$17,2,0)</f>
        <v>3</v>
      </c>
      <c r="F3" s="91">
        <f>VLOOKUP(A3,$A$12:$D$17,3,0)</f>
        <v>6</v>
      </c>
      <c r="G3" s="91">
        <f>VLOOKUP(A3,$A$12:$D$17,4,0)</f>
        <v>4</v>
      </c>
      <c r="H3" s="91">
        <f>IF(D3="CLS",  1.5,   IF(D3="CTB",1,   IF(D3="MN",  0.5,    0)))</f>
        <v>0</v>
      </c>
      <c r="I3" s="91">
        <f>SUM(E3:H3)</f>
        <v>13</v>
      </c>
      <c r="J3" s="91">
        <f>HLOOKUP(C3,$G$11:$I$12,2,0)</f>
        <v>16</v>
      </c>
      <c r="K3" s="91" t="str">
        <f>IF(I3&gt;=J3, "đậu", "Hỏng")</f>
        <v>Hỏng</v>
      </c>
      <c r="L3" s="89"/>
      <c r="M3" s="22"/>
      <c r="N3" s="22"/>
    </row>
    <row r="4" spans="1:14" ht="24" customHeight="1" x14ac:dyDescent="0.3">
      <c r="A4" s="91" t="s">
        <v>254</v>
      </c>
      <c r="B4" s="91" t="s">
        <v>255</v>
      </c>
      <c r="C4" s="91" t="s">
        <v>19</v>
      </c>
      <c r="D4" s="91" t="s">
        <v>256</v>
      </c>
      <c r="E4" s="91">
        <f t="shared" ref="E4:E8" si="0">VLOOKUP(A4,$A$12:$D$17,2,0)</f>
        <v>10</v>
      </c>
      <c r="F4" s="91">
        <f t="shared" ref="F4:F8" si="1">VLOOKUP(A4,$A$12:$D$17,3,0)</f>
        <v>8</v>
      </c>
      <c r="G4" s="91">
        <f t="shared" ref="G4:G8" si="2">VLOOKUP(A4,$A$12:$D$17,4,0)</f>
        <v>4</v>
      </c>
      <c r="H4" s="91">
        <f t="shared" ref="H4:H8" si="3">IF(D4="CLS",  1.5,   IF(D4="CTB",1,   IF(D4="MN",  0.5,    0)))</f>
        <v>1.5</v>
      </c>
      <c r="I4" s="91">
        <f>SUM(E4:H4)</f>
        <v>23.5</v>
      </c>
      <c r="J4" s="91">
        <f t="shared" ref="J4:J8" si="4">HLOOKUP(C4,$G$11:$I$12,2,0)</f>
        <v>19</v>
      </c>
      <c r="K4" s="91" t="str">
        <f t="shared" ref="K4:K8" si="5">IF(I4&gt;=J4, "đậu", "Hỏng")</f>
        <v>đậu</v>
      </c>
      <c r="L4" s="89"/>
      <c r="M4" s="22"/>
      <c r="N4" s="22"/>
    </row>
    <row r="5" spans="1:14" ht="24" customHeight="1" x14ac:dyDescent="0.3">
      <c r="A5" s="91" t="s">
        <v>257</v>
      </c>
      <c r="B5" s="91" t="s">
        <v>258</v>
      </c>
      <c r="C5" s="91" t="s">
        <v>16</v>
      </c>
      <c r="D5" s="91" t="s">
        <v>259</v>
      </c>
      <c r="E5" s="91">
        <f t="shared" si="0"/>
        <v>8</v>
      </c>
      <c r="F5" s="91">
        <f t="shared" si="1"/>
        <v>6</v>
      </c>
      <c r="G5" s="91">
        <f t="shared" si="2"/>
        <v>4</v>
      </c>
      <c r="H5" s="91">
        <f t="shared" si="3"/>
        <v>1</v>
      </c>
      <c r="I5" s="91">
        <f t="shared" ref="I5:I8" si="6">SUM(E5:H5)</f>
        <v>19</v>
      </c>
      <c r="J5" s="91">
        <f t="shared" si="4"/>
        <v>17.5</v>
      </c>
      <c r="K5" s="91" t="str">
        <f t="shared" si="5"/>
        <v>đậu</v>
      </c>
      <c r="L5" s="89"/>
      <c r="M5" s="22"/>
      <c r="N5" s="22"/>
    </row>
    <row r="6" spans="1:14" ht="24" customHeight="1" x14ac:dyDescent="0.3">
      <c r="A6" s="91" t="s">
        <v>261</v>
      </c>
      <c r="B6" s="91" t="s">
        <v>262</v>
      </c>
      <c r="C6" s="91" t="s">
        <v>19</v>
      </c>
      <c r="D6" s="91" t="s">
        <v>259</v>
      </c>
      <c r="E6" s="91">
        <f t="shared" si="0"/>
        <v>7</v>
      </c>
      <c r="F6" s="91">
        <f t="shared" si="1"/>
        <v>0</v>
      </c>
      <c r="G6" s="91">
        <f t="shared" si="2"/>
        <v>1</v>
      </c>
      <c r="H6" s="91">
        <f t="shared" si="3"/>
        <v>1</v>
      </c>
      <c r="I6" s="91">
        <f t="shared" si="6"/>
        <v>9</v>
      </c>
      <c r="J6" s="91">
        <f t="shared" si="4"/>
        <v>19</v>
      </c>
      <c r="K6" s="91" t="str">
        <f t="shared" si="5"/>
        <v>Hỏng</v>
      </c>
      <c r="L6" s="89"/>
      <c r="M6" s="22"/>
      <c r="N6" s="22"/>
    </row>
    <row r="7" spans="1:14" ht="24" customHeight="1" x14ac:dyDescent="0.3">
      <c r="A7" s="91" t="s">
        <v>253</v>
      </c>
      <c r="B7" s="91" t="s">
        <v>263</v>
      </c>
      <c r="C7" s="91" t="s">
        <v>19</v>
      </c>
      <c r="D7" s="91" t="s">
        <v>252</v>
      </c>
      <c r="E7" s="91">
        <f t="shared" si="0"/>
        <v>10</v>
      </c>
      <c r="F7" s="91">
        <f t="shared" si="1"/>
        <v>9</v>
      </c>
      <c r="G7" s="91">
        <f t="shared" si="2"/>
        <v>7</v>
      </c>
      <c r="H7" s="91">
        <f t="shared" si="3"/>
        <v>0</v>
      </c>
      <c r="I7" s="91">
        <f t="shared" si="6"/>
        <v>26</v>
      </c>
      <c r="J7" s="91">
        <f t="shared" si="4"/>
        <v>19</v>
      </c>
      <c r="K7" s="91" t="str">
        <f t="shared" si="5"/>
        <v>đậu</v>
      </c>
      <c r="L7" s="89"/>
      <c r="M7" s="22"/>
      <c r="N7" s="22"/>
    </row>
    <row r="8" spans="1:14" ht="24" customHeight="1" x14ac:dyDescent="0.3">
      <c r="A8" s="91" t="s">
        <v>260</v>
      </c>
      <c r="B8" s="91" t="s">
        <v>264</v>
      </c>
      <c r="C8" s="91" t="s">
        <v>13</v>
      </c>
      <c r="D8" s="91" t="s">
        <v>265</v>
      </c>
      <c r="E8" s="91">
        <f t="shared" si="0"/>
        <v>9</v>
      </c>
      <c r="F8" s="91">
        <f t="shared" si="1"/>
        <v>10</v>
      </c>
      <c r="G8" s="91">
        <f t="shared" si="2"/>
        <v>5</v>
      </c>
      <c r="H8" s="91">
        <f t="shared" si="3"/>
        <v>0.5</v>
      </c>
      <c r="I8" s="91">
        <f t="shared" si="6"/>
        <v>24.5</v>
      </c>
      <c r="J8" s="91">
        <f t="shared" si="4"/>
        <v>16</v>
      </c>
      <c r="K8" s="91" t="str">
        <f t="shared" si="5"/>
        <v>đậu</v>
      </c>
      <c r="L8" s="89"/>
      <c r="M8" s="22"/>
      <c r="N8" s="22"/>
    </row>
    <row r="9" spans="1:14" ht="16.5" customHeight="1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9"/>
      <c r="M9" s="22"/>
      <c r="N9" s="22"/>
    </row>
    <row r="10" spans="1:14" ht="30" customHeight="1" x14ac:dyDescent="0.3">
      <c r="A10" s="87"/>
      <c r="B10" s="87" t="s">
        <v>266</v>
      </c>
      <c r="C10" s="87"/>
      <c r="D10" s="87"/>
      <c r="E10" s="87"/>
      <c r="F10" s="87"/>
      <c r="G10" s="87" t="s">
        <v>267</v>
      </c>
      <c r="H10" s="87"/>
      <c r="I10" s="87"/>
      <c r="J10" s="87"/>
      <c r="K10" s="87"/>
      <c r="L10" s="89"/>
      <c r="M10" s="22"/>
      <c r="N10" s="22"/>
    </row>
    <row r="11" spans="1:14" ht="35.25" customHeight="1" x14ac:dyDescent="0.3">
      <c r="A11" s="93" t="s">
        <v>241</v>
      </c>
      <c r="B11" s="90" t="s">
        <v>245</v>
      </c>
      <c r="C11" s="90" t="s">
        <v>246</v>
      </c>
      <c r="D11" s="90" t="s">
        <v>247</v>
      </c>
      <c r="E11" s="87"/>
      <c r="F11" s="93" t="s">
        <v>243</v>
      </c>
      <c r="G11" s="92" t="s">
        <v>13</v>
      </c>
      <c r="H11" s="92" t="s">
        <v>16</v>
      </c>
      <c r="I11" s="92" t="s">
        <v>19</v>
      </c>
      <c r="J11" s="87"/>
      <c r="K11" s="87"/>
      <c r="L11" s="89"/>
      <c r="M11" s="22"/>
      <c r="N11" s="22"/>
    </row>
    <row r="12" spans="1:14" ht="30" customHeight="1" x14ac:dyDescent="0.3">
      <c r="A12" s="91" t="s">
        <v>253</v>
      </c>
      <c r="B12" s="91">
        <v>10</v>
      </c>
      <c r="C12" s="91">
        <v>9</v>
      </c>
      <c r="D12" s="91">
        <v>7</v>
      </c>
      <c r="E12" s="87"/>
      <c r="F12" s="93" t="s">
        <v>268</v>
      </c>
      <c r="G12" s="91">
        <v>16</v>
      </c>
      <c r="H12" s="91">
        <v>17.5</v>
      </c>
      <c r="I12" s="91">
        <v>19</v>
      </c>
      <c r="J12" s="87"/>
      <c r="K12" s="87"/>
      <c r="L12" s="89"/>
      <c r="M12" s="22"/>
      <c r="N12" s="22"/>
    </row>
    <row r="13" spans="1:14" ht="25.5" customHeight="1" x14ac:dyDescent="0.3">
      <c r="A13" s="91" t="s">
        <v>254</v>
      </c>
      <c r="B13" s="91">
        <v>10</v>
      </c>
      <c r="C13" s="91">
        <v>8</v>
      </c>
      <c r="D13" s="91">
        <v>4</v>
      </c>
      <c r="E13" s="87"/>
      <c r="F13" s="87"/>
      <c r="G13" s="87"/>
      <c r="H13" s="87"/>
      <c r="I13" s="87"/>
      <c r="J13" s="87"/>
      <c r="K13" s="87"/>
      <c r="L13" s="89"/>
      <c r="M13" s="22"/>
      <c r="N13" s="22"/>
    </row>
    <row r="14" spans="1:14" ht="25.5" customHeight="1" x14ac:dyDescent="0.3">
      <c r="A14" s="91" t="s">
        <v>260</v>
      </c>
      <c r="B14" s="91">
        <v>9</v>
      </c>
      <c r="C14" s="91">
        <v>10</v>
      </c>
      <c r="D14" s="91">
        <v>5</v>
      </c>
      <c r="E14" s="87"/>
      <c r="F14" s="87"/>
      <c r="G14" s="87"/>
      <c r="H14" s="87"/>
      <c r="I14" s="87"/>
      <c r="J14" s="87"/>
      <c r="K14" s="87"/>
      <c r="L14" s="89"/>
      <c r="M14" s="22"/>
      <c r="N14" s="22"/>
    </row>
    <row r="15" spans="1:14" ht="25.5" customHeight="1" x14ac:dyDescent="0.3">
      <c r="A15" s="91" t="s">
        <v>261</v>
      </c>
      <c r="B15" s="91">
        <v>7</v>
      </c>
      <c r="C15" s="91">
        <v>0</v>
      </c>
      <c r="D15" s="91">
        <v>1</v>
      </c>
      <c r="E15" s="87"/>
      <c r="F15" s="87"/>
      <c r="G15" s="87"/>
      <c r="H15" s="87"/>
      <c r="I15" s="87"/>
      <c r="J15" s="87"/>
      <c r="K15" s="87"/>
      <c r="L15" s="89"/>
      <c r="M15" s="22"/>
      <c r="N15" s="22"/>
    </row>
    <row r="16" spans="1:14" ht="25.5" customHeight="1" x14ac:dyDescent="0.3">
      <c r="A16" s="91" t="s">
        <v>250</v>
      </c>
      <c r="B16" s="91">
        <v>3</v>
      </c>
      <c r="C16" s="91">
        <v>6</v>
      </c>
      <c r="D16" s="91">
        <v>4</v>
      </c>
      <c r="E16" s="87"/>
      <c r="F16" s="87"/>
      <c r="G16" s="87"/>
      <c r="H16" s="87"/>
      <c r="I16" s="87"/>
      <c r="J16" s="87"/>
      <c r="K16" s="87"/>
      <c r="L16" s="89"/>
      <c r="M16" s="22"/>
      <c r="N16" s="22"/>
    </row>
    <row r="17" spans="1:14" ht="25.5" customHeight="1" x14ac:dyDescent="0.3">
      <c r="A17" s="91" t="s">
        <v>257</v>
      </c>
      <c r="B17" s="91">
        <v>8</v>
      </c>
      <c r="C17" s="91">
        <v>6</v>
      </c>
      <c r="D17" s="91">
        <v>4</v>
      </c>
      <c r="E17" s="87"/>
      <c r="F17" s="87"/>
      <c r="G17" s="87"/>
      <c r="H17" s="87"/>
      <c r="I17" s="87"/>
      <c r="J17" s="87"/>
      <c r="K17" s="87"/>
      <c r="L17" s="89"/>
      <c r="M17" s="22"/>
      <c r="N17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15" zoomScaleNormal="115" workbookViewId="0">
      <selection activeCell="L18" sqref="L18"/>
    </sheetView>
  </sheetViews>
  <sheetFormatPr defaultRowHeight="15.75" x14ac:dyDescent="0.25"/>
  <cols>
    <col min="1" max="1" width="9.140625" style="48"/>
    <col min="2" max="2" width="15" style="48" customWidth="1"/>
    <col min="3" max="3" width="16" style="48" customWidth="1"/>
    <col min="4" max="4" width="12.85546875" style="48" customWidth="1"/>
    <col min="5" max="5" width="9.28515625" style="48" customWidth="1"/>
    <col min="6" max="6" width="14.85546875" style="48" customWidth="1"/>
    <col min="7" max="7" width="14.42578125" style="48" customWidth="1"/>
    <col min="8" max="8" width="15.5703125" style="48" customWidth="1"/>
    <col min="9" max="9" width="14.28515625" style="48" customWidth="1"/>
    <col min="10" max="10" width="7.140625" style="48" customWidth="1"/>
    <col min="11" max="16384" width="9.140625" style="48"/>
  </cols>
  <sheetData>
    <row r="1" spans="1:12" x14ac:dyDescent="0.25">
      <c r="A1" s="46"/>
      <c r="B1" s="47"/>
      <c r="C1" s="47"/>
      <c r="D1" s="47"/>
      <c r="E1" s="47"/>
      <c r="F1" s="47"/>
      <c r="G1" s="47"/>
      <c r="H1" s="47"/>
      <c r="I1" s="47"/>
    </row>
    <row r="2" spans="1:12" x14ac:dyDescent="0.25">
      <c r="A2" s="49" t="s">
        <v>93</v>
      </c>
      <c r="B2" s="50"/>
      <c r="C2" s="50"/>
      <c r="D2" s="50"/>
      <c r="E2" s="50"/>
      <c r="F2" s="50"/>
      <c r="G2" s="50"/>
      <c r="H2" s="50"/>
      <c r="I2" s="50"/>
    </row>
    <row r="3" spans="1:12" x14ac:dyDescent="0.25">
      <c r="A3" s="51"/>
      <c r="B3" s="52"/>
      <c r="C3" s="52"/>
      <c r="D3" s="52"/>
      <c r="E3" s="52"/>
      <c r="F3" s="52"/>
      <c r="G3" s="52"/>
      <c r="H3" s="52"/>
      <c r="I3" s="52"/>
    </row>
    <row r="4" spans="1:12" s="54" customFormat="1" ht="63" x14ac:dyDescent="0.25">
      <c r="A4" s="53" t="s">
        <v>46</v>
      </c>
      <c r="B4" s="53" t="s">
        <v>94</v>
      </c>
      <c r="C4" s="53" t="s">
        <v>95</v>
      </c>
      <c r="D4" s="53" t="s">
        <v>96</v>
      </c>
      <c r="E4" s="53" t="s">
        <v>97</v>
      </c>
      <c r="F4" s="53" t="s">
        <v>98</v>
      </c>
      <c r="G4" s="53" t="s">
        <v>99</v>
      </c>
      <c r="H4" s="53" t="s">
        <v>100</v>
      </c>
      <c r="I4" s="53" t="s">
        <v>101</v>
      </c>
      <c r="K4" s="55" t="s">
        <v>102</v>
      </c>
      <c r="L4" s="56" t="s">
        <v>103</v>
      </c>
    </row>
    <row r="5" spans="1:12" x14ac:dyDescent="0.25">
      <c r="A5" s="57">
        <v>1</v>
      </c>
      <c r="B5" s="57" t="s">
        <v>104</v>
      </c>
      <c r="C5" s="58" t="str">
        <f>VLOOKUP(K5, $A$17:$D$20, 2, 0)</f>
        <v>KHÔ MỰC</v>
      </c>
      <c r="D5" s="59">
        <v>42708</v>
      </c>
      <c r="E5" s="57">
        <v>10</v>
      </c>
      <c r="F5" s="60">
        <f t="shared" ref="F5:F13" si="0">VLOOKUP(K5, $A$17:$D$21,    IF(E5&gt;=10, 3, 4), 0)</f>
        <v>240000</v>
      </c>
      <c r="G5" s="61">
        <f>E5*F5</f>
        <v>2400000</v>
      </c>
      <c r="H5" s="60">
        <f t="shared" ref="H5:H13" si="1">IF(L5="0", 0, IF(L5="1", G5*5%, G5*10%))</f>
        <v>0</v>
      </c>
      <c r="I5" s="61">
        <f>G5+H5</f>
        <v>2400000</v>
      </c>
      <c r="K5" s="48" t="str">
        <f>MID(B5,2,2)</f>
        <v>KM</v>
      </c>
      <c r="L5" s="48" t="str">
        <f>RIGHT(B5,1)</f>
        <v>0</v>
      </c>
    </row>
    <row r="6" spans="1:12" x14ac:dyDescent="0.25">
      <c r="A6" s="57">
        <v>2</v>
      </c>
      <c r="B6" s="57" t="s">
        <v>105</v>
      </c>
      <c r="C6" s="58" t="str">
        <f t="shared" ref="C6:C13" si="2">VLOOKUP(K6, $A$17:$D$20, 2, 0)</f>
        <v>LẠP XƯỠNG</v>
      </c>
      <c r="D6" s="59">
        <v>42711</v>
      </c>
      <c r="E6" s="57">
        <v>5</v>
      </c>
      <c r="F6" s="60">
        <f t="shared" si="0"/>
        <v>180000</v>
      </c>
      <c r="G6" s="61">
        <f t="shared" ref="G6:G13" si="3">E6*F6</f>
        <v>900000</v>
      </c>
      <c r="H6" s="60">
        <f t="shared" si="1"/>
        <v>90000</v>
      </c>
      <c r="I6" s="61">
        <f t="shared" ref="I6:I13" si="4">G6+H6</f>
        <v>990000</v>
      </c>
      <c r="K6" s="48" t="str">
        <f t="shared" ref="K6:K13" si="5">MID(B6,2,2)</f>
        <v>LX</v>
      </c>
      <c r="L6" s="48" t="str">
        <f t="shared" ref="L6:L13" si="6">RIGHT(B6,1)</f>
        <v>2</v>
      </c>
    </row>
    <row r="7" spans="1:12" x14ac:dyDescent="0.25">
      <c r="A7" s="57">
        <v>3</v>
      </c>
      <c r="B7" s="57" t="s">
        <v>106</v>
      </c>
      <c r="C7" s="58" t="str">
        <f t="shared" si="2"/>
        <v>LẠP XƯỠNG</v>
      </c>
      <c r="D7" s="59">
        <v>42716</v>
      </c>
      <c r="E7" s="57">
        <v>25</v>
      </c>
      <c r="F7" s="60">
        <f t="shared" si="0"/>
        <v>150000</v>
      </c>
      <c r="G7" s="61">
        <f t="shared" si="3"/>
        <v>3750000</v>
      </c>
      <c r="H7" s="60">
        <f t="shared" si="1"/>
        <v>187500</v>
      </c>
      <c r="I7" s="61">
        <f t="shared" si="4"/>
        <v>3937500</v>
      </c>
      <c r="K7" s="48" t="str">
        <f t="shared" si="5"/>
        <v>LX</v>
      </c>
      <c r="L7" s="48" t="str">
        <f t="shared" si="6"/>
        <v>1</v>
      </c>
    </row>
    <row r="8" spans="1:12" x14ac:dyDescent="0.25">
      <c r="A8" s="57">
        <v>4</v>
      </c>
      <c r="B8" s="57" t="s">
        <v>107</v>
      </c>
      <c r="C8" s="58" t="str">
        <f t="shared" si="2"/>
        <v>KHÔ MỰC</v>
      </c>
      <c r="D8" s="59">
        <v>42714</v>
      </c>
      <c r="E8" s="57">
        <v>12</v>
      </c>
      <c r="F8" s="60">
        <f t="shared" si="0"/>
        <v>240000</v>
      </c>
      <c r="G8" s="61">
        <f t="shared" si="3"/>
        <v>2880000</v>
      </c>
      <c r="H8" s="60">
        <f t="shared" si="1"/>
        <v>144000</v>
      </c>
      <c r="I8" s="61">
        <f t="shared" si="4"/>
        <v>3024000</v>
      </c>
      <c r="K8" s="48" t="str">
        <f t="shared" si="5"/>
        <v>KM</v>
      </c>
      <c r="L8" s="48" t="str">
        <f t="shared" si="6"/>
        <v>1</v>
      </c>
    </row>
    <row r="9" spans="1:12" x14ac:dyDescent="0.25">
      <c r="A9" s="57">
        <v>5</v>
      </c>
      <c r="B9" s="57" t="s">
        <v>108</v>
      </c>
      <c r="C9" s="58" t="str">
        <f t="shared" si="2"/>
        <v>TÔM KHÔ</v>
      </c>
      <c r="D9" s="59">
        <v>42717</v>
      </c>
      <c r="E9" s="57">
        <v>20</v>
      </c>
      <c r="F9" s="60">
        <f t="shared" si="0"/>
        <v>200000</v>
      </c>
      <c r="G9" s="61">
        <f t="shared" si="3"/>
        <v>4000000</v>
      </c>
      <c r="H9" s="60">
        <f t="shared" si="1"/>
        <v>0</v>
      </c>
      <c r="I9" s="61">
        <f t="shared" si="4"/>
        <v>4000000</v>
      </c>
      <c r="K9" s="48" t="str">
        <f t="shared" si="5"/>
        <v>TK</v>
      </c>
      <c r="L9" s="48" t="str">
        <f t="shared" si="6"/>
        <v>0</v>
      </c>
    </row>
    <row r="10" spans="1:12" x14ac:dyDescent="0.25">
      <c r="A10" s="57">
        <v>6</v>
      </c>
      <c r="B10" s="57" t="s">
        <v>109</v>
      </c>
      <c r="C10" s="58" t="str">
        <f t="shared" si="2"/>
        <v>KHÔ MỰC</v>
      </c>
      <c r="D10" s="59">
        <v>42721</v>
      </c>
      <c r="E10" s="57">
        <v>30</v>
      </c>
      <c r="F10" s="60">
        <f t="shared" si="0"/>
        <v>240000</v>
      </c>
      <c r="G10" s="61">
        <f t="shared" si="3"/>
        <v>7200000</v>
      </c>
      <c r="H10" s="60">
        <f t="shared" si="1"/>
        <v>720000</v>
      </c>
      <c r="I10" s="61">
        <f t="shared" si="4"/>
        <v>7920000</v>
      </c>
      <c r="K10" s="48" t="str">
        <f t="shared" si="5"/>
        <v>KM</v>
      </c>
      <c r="L10" s="48" t="str">
        <f t="shared" si="6"/>
        <v>2</v>
      </c>
    </row>
    <row r="11" spans="1:12" x14ac:dyDescent="0.25">
      <c r="A11" s="57">
        <v>7</v>
      </c>
      <c r="B11" s="57" t="s">
        <v>109</v>
      </c>
      <c r="C11" s="58" t="str">
        <f t="shared" si="2"/>
        <v>KHÔ MỰC</v>
      </c>
      <c r="D11" s="59">
        <v>42725</v>
      </c>
      <c r="E11" s="57">
        <v>6</v>
      </c>
      <c r="F11" s="60">
        <f t="shared" si="0"/>
        <v>280000</v>
      </c>
      <c r="G11" s="61">
        <f t="shared" si="3"/>
        <v>1680000</v>
      </c>
      <c r="H11" s="60">
        <f t="shared" si="1"/>
        <v>168000</v>
      </c>
      <c r="I11" s="61">
        <f t="shared" si="4"/>
        <v>1848000</v>
      </c>
      <c r="K11" s="48" t="str">
        <f t="shared" si="5"/>
        <v>KM</v>
      </c>
      <c r="L11" s="48" t="str">
        <f t="shared" si="6"/>
        <v>2</v>
      </c>
    </row>
    <row r="12" spans="1:12" x14ac:dyDescent="0.25">
      <c r="A12" s="57">
        <v>8</v>
      </c>
      <c r="B12" s="57" t="s">
        <v>110</v>
      </c>
      <c r="C12" s="58" t="str">
        <f t="shared" si="2"/>
        <v>TÔM KHÔ</v>
      </c>
      <c r="D12" s="59">
        <v>42731</v>
      </c>
      <c r="E12" s="57">
        <v>35</v>
      </c>
      <c r="F12" s="60">
        <f t="shared" si="0"/>
        <v>200000</v>
      </c>
      <c r="G12" s="61">
        <f t="shared" si="3"/>
        <v>7000000</v>
      </c>
      <c r="H12" s="60">
        <f t="shared" si="1"/>
        <v>700000</v>
      </c>
      <c r="I12" s="61">
        <f t="shared" si="4"/>
        <v>7700000</v>
      </c>
      <c r="K12" s="48" t="str">
        <f t="shared" si="5"/>
        <v>TK</v>
      </c>
      <c r="L12" s="48" t="str">
        <f t="shared" si="6"/>
        <v>2</v>
      </c>
    </row>
    <row r="13" spans="1:12" x14ac:dyDescent="0.25">
      <c r="A13" s="57">
        <v>9</v>
      </c>
      <c r="B13" s="57" t="s">
        <v>111</v>
      </c>
      <c r="C13" s="58" t="str">
        <f t="shared" si="2"/>
        <v>TÔM KHÔ</v>
      </c>
      <c r="D13" s="59">
        <v>42733</v>
      </c>
      <c r="E13" s="57">
        <v>15</v>
      </c>
      <c r="F13" s="60">
        <f t="shared" si="0"/>
        <v>200000</v>
      </c>
      <c r="G13" s="61">
        <f t="shared" si="3"/>
        <v>3000000</v>
      </c>
      <c r="H13" s="60">
        <f t="shared" si="1"/>
        <v>150000</v>
      </c>
      <c r="I13" s="61">
        <f t="shared" si="4"/>
        <v>3150000</v>
      </c>
      <c r="K13" s="48" t="str">
        <f t="shared" si="5"/>
        <v>TK</v>
      </c>
      <c r="L13" s="48" t="str">
        <f t="shared" si="6"/>
        <v>1</v>
      </c>
    </row>
    <row r="15" spans="1:12" x14ac:dyDescent="0.25">
      <c r="F15" s="48" t="s">
        <v>112</v>
      </c>
    </row>
    <row r="16" spans="1:12" x14ac:dyDescent="0.25">
      <c r="A16" s="62" t="s">
        <v>113</v>
      </c>
      <c r="F16" s="48" t="s">
        <v>114</v>
      </c>
    </row>
    <row r="17" spans="1:6" x14ac:dyDescent="0.25">
      <c r="A17" s="57" t="s">
        <v>115</v>
      </c>
      <c r="B17" s="57" t="s">
        <v>95</v>
      </c>
      <c r="C17" s="57" t="s">
        <v>116</v>
      </c>
      <c r="D17" s="57" t="s">
        <v>117</v>
      </c>
      <c r="F17" s="48" t="s">
        <v>118</v>
      </c>
    </row>
    <row r="18" spans="1:6" x14ac:dyDescent="0.25">
      <c r="A18" s="57" t="s">
        <v>119</v>
      </c>
      <c r="B18" s="63" t="s">
        <v>120</v>
      </c>
      <c r="C18" s="57">
        <v>200000</v>
      </c>
      <c r="D18" s="57">
        <v>220000</v>
      </c>
      <c r="F18" s="48" t="s">
        <v>121</v>
      </c>
    </row>
    <row r="19" spans="1:6" x14ac:dyDescent="0.25">
      <c r="A19" s="57" t="s">
        <v>122</v>
      </c>
      <c r="B19" s="63" t="s">
        <v>123</v>
      </c>
      <c r="C19" s="57">
        <v>150000</v>
      </c>
      <c r="D19" s="57">
        <v>180000</v>
      </c>
      <c r="F19" s="48" t="s">
        <v>124</v>
      </c>
    </row>
    <row r="20" spans="1:6" x14ac:dyDescent="0.25">
      <c r="A20" s="57" t="s">
        <v>125</v>
      </c>
      <c r="B20" s="63" t="s">
        <v>126</v>
      </c>
      <c r="C20" s="57">
        <v>240000</v>
      </c>
      <c r="D20" s="57">
        <v>280000</v>
      </c>
    </row>
    <row r="21" spans="1:6" x14ac:dyDescent="0.25">
      <c r="A21" s="64"/>
      <c r="B21" s="64"/>
      <c r="C21" s="64"/>
      <c r="D21" s="64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5" x14ac:dyDescent="0.25"/>
  <sheetData>
    <row r="1" spans="1:1" x14ac:dyDescent="0.25">
      <c r="A1" t="s">
        <v>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L8" sqref="L8"/>
    </sheetView>
  </sheetViews>
  <sheetFormatPr defaultRowHeight="15" x14ac:dyDescent="0.25"/>
  <cols>
    <col min="1" max="1" width="7" customWidth="1"/>
    <col min="2" max="2" width="21" customWidth="1"/>
    <col min="3" max="3" width="10.28515625" customWidth="1"/>
    <col min="5" max="5" width="17.42578125" customWidth="1"/>
    <col min="6" max="6" width="10.7109375" customWidth="1"/>
    <col min="7" max="7" width="18.42578125" customWidth="1"/>
  </cols>
  <sheetData>
    <row r="1" spans="1:7" ht="15.75" x14ac:dyDescent="0.25">
      <c r="A1" s="116" t="s">
        <v>211</v>
      </c>
      <c r="B1" s="117"/>
      <c r="C1" s="117"/>
      <c r="D1" s="117"/>
      <c r="E1" s="117"/>
      <c r="F1" s="117"/>
      <c r="G1" s="117"/>
    </row>
    <row r="2" spans="1:7" ht="15.75" x14ac:dyDescent="0.25">
      <c r="A2" s="72" t="s">
        <v>129</v>
      </c>
      <c r="B2" s="72" t="s">
        <v>212</v>
      </c>
      <c r="C2" s="72" t="s">
        <v>213</v>
      </c>
      <c r="D2" s="72" t="s">
        <v>132</v>
      </c>
      <c r="E2" s="72" t="s">
        <v>214</v>
      </c>
      <c r="F2" s="72" t="s">
        <v>215</v>
      </c>
      <c r="G2" s="72" t="s">
        <v>216</v>
      </c>
    </row>
    <row r="3" spans="1:7" ht="26.25" customHeight="1" x14ac:dyDescent="0.25">
      <c r="A3" s="23" t="s">
        <v>217</v>
      </c>
      <c r="B3" s="86" t="s">
        <v>218</v>
      </c>
      <c r="C3" s="85" t="str">
        <f t="shared" ref="C3:C11" si="0">RIGHT(A3,2)</f>
        <v>12</v>
      </c>
      <c r="D3" s="66">
        <v>2000</v>
      </c>
      <c r="E3" s="85" t="str">
        <f>HLOOKUP(LEFT(A3,1),$C$14:$F$15,2,0)</f>
        <v>Môi trường</v>
      </c>
      <c r="F3" s="66" t="s">
        <v>219</v>
      </c>
      <c r="G3" s="81">
        <f t="shared" ref="G3:G11" si="1">IF(F3=1,800000,IF(F3=2,500000,IF(F3=3,300000,100000)))</f>
        <v>100000</v>
      </c>
    </row>
    <row r="4" spans="1:7" ht="26.25" customHeight="1" x14ac:dyDescent="0.25">
      <c r="A4" s="23" t="s">
        <v>220</v>
      </c>
      <c r="B4" s="86" t="s">
        <v>221</v>
      </c>
      <c r="C4" s="85" t="str">
        <f t="shared" si="0"/>
        <v>11</v>
      </c>
      <c r="D4" s="66">
        <v>2000</v>
      </c>
      <c r="E4" s="85" t="str">
        <f t="shared" ref="E4:E11" si="2">HLOOKUP(LEFT(A4,1),$C$14:$F$15,2,0)</f>
        <v>Môi trường</v>
      </c>
      <c r="F4" s="66" t="s">
        <v>219</v>
      </c>
      <c r="G4" s="81">
        <f t="shared" si="1"/>
        <v>100000</v>
      </c>
    </row>
    <row r="5" spans="1:7" ht="33" customHeight="1" x14ac:dyDescent="0.25">
      <c r="A5" s="23" t="s">
        <v>222</v>
      </c>
      <c r="B5" s="86" t="s">
        <v>223</v>
      </c>
      <c r="C5" s="85" t="str">
        <f t="shared" si="0"/>
        <v>10</v>
      </c>
      <c r="D5" s="66">
        <v>2001</v>
      </c>
      <c r="E5" s="85" t="str">
        <f t="shared" si="2"/>
        <v>Nông nghiệp</v>
      </c>
      <c r="F5" s="66" t="s">
        <v>219</v>
      </c>
      <c r="G5" s="81">
        <f t="shared" si="1"/>
        <v>100000</v>
      </c>
    </row>
    <row r="6" spans="1:7" ht="26.25" customHeight="1" x14ac:dyDescent="0.25">
      <c r="A6" s="23" t="s">
        <v>217</v>
      </c>
      <c r="B6" s="86" t="s">
        <v>224</v>
      </c>
      <c r="C6" s="85" t="str">
        <f t="shared" si="0"/>
        <v>12</v>
      </c>
      <c r="D6" s="66">
        <v>2001</v>
      </c>
      <c r="E6" s="85" t="str">
        <f t="shared" si="2"/>
        <v>Môi trường</v>
      </c>
      <c r="F6" s="66" t="s">
        <v>219</v>
      </c>
      <c r="G6" s="81">
        <f t="shared" si="1"/>
        <v>100000</v>
      </c>
    </row>
    <row r="7" spans="1:7" ht="26.25" customHeight="1" x14ac:dyDescent="0.25">
      <c r="A7" s="69" t="s">
        <v>220</v>
      </c>
      <c r="B7" s="86" t="s">
        <v>225</v>
      </c>
      <c r="C7" s="85" t="str">
        <f t="shared" si="0"/>
        <v>11</v>
      </c>
      <c r="D7" s="66">
        <v>2001</v>
      </c>
      <c r="E7" s="85" t="str">
        <f t="shared" si="2"/>
        <v>Môi trường</v>
      </c>
      <c r="F7" s="66" t="s">
        <v>219</v>
      </c>
      <c r="G7" s="81">
        <f t="shared" si="1"/>
        <v>100000</v>
      </c>
    </row>
    <row r="8" spans="1:7" ht="26.25" customHeight="1" x14ac:dyDescent="0.25">
      <c r="A8" s="23" t="s">
        <v>226</v>
      </c>
      <c r="B8" s="86" t="s">
        <v>227</v>
      </c>
      <c r="C8" s="85" t="str">
        <f t="shared" si="0"/>
        <v>12</v>
      </c>
      <c r="D8" s="66">
        <v>2001</v>
      </c>
      <c r="E8" s="85" t="str">
        <f t="shared" si="2"/>
        <v>Nông nghiệp</v>
      </c>
      <c r="F8" s="66">
        <v>3</v>
      </c>
      <c r="G8" s="81">
        <f t="shared" si="1"/>
        <v>300000</v>
      </c>
    </row>
    <row r="9" spans="1:7" ht="26.25" customHeight="1" x14ac:dyDescent="0.25">
      <c r="A9" s="23" t="s">
        <v>228</v>
      </c>
      <c r="B9" s="86" t="s">
        <v>229</v>
      </c>
      <c r="C9" s="85" t="str">
        <f t="shared" si="0"/>
        <v>10</v>
      </c>
      <c r="D9" s="66">
        <v>2000</v>
      </c>
      <c r="E9" s="85" t="str">
        <f t="shared" si="2"/>
        <v>Giáo dục</v>
      </c>
      <c r="F9" s="66">
        <v>3</v>
      </c>
      <c r="G9" s="81">
        <f t="shared" si="1"/>
        <v>300000</v>
      </c>
    </row>
    <row r="10" spans="1:7" ht="26.25" customHeight="1" x14ac:dyDescent="0.25">
      <c r="A10" s="23" t="s">
        <v>230</v>
      </c>
      <c r="B10" s="86" t="s">
        <v>231</v>
      </c>
      <c r="C10" s="85" t="str">
        <f t="shared" si="0"/>
        <v>11</v>
      </c>
      <c r="D10" s="66">
        <v>2001</v>
      </c>
      <c r="E10" s="85" t="str">
        <f t="shared" si="2"/>
        <v>Nông nghiệp</v>
      </c>
      <c r="F10" s="66">
        <v>2</v>
      </c>
      <c r="G10" s="81">
        <f t="shared" si="1"/>
        <v>500000</v>
      </c>
    </row>
    <row r="11" spans="1:7" ht="26.25" customHeight="1" x14ac:dyDescent="0.25">
      <c r="A11" s="23" t="s">
        <v>232</v>
      </c>
      <c r="B11" s="86" t="s">
        <v>233</v>
      </c>
      <c r="C11" s="85" t="str">
        <f t="shared" si="0"/>
        <v>12</v>
      </c>
      <c r="D11" s="66">
        <v>2000</v>
      </c>
      <c r="E11" s="85" t="str">
        <f t="shared" si="2"/>
        <v>Giáo dục</v>
      </c>
      <c r="F11" s="66">
        <v>1</v>
      </c>
      <c r="G11" s="81">
        <f t="shared" si="1"/>
        <v>800000</v>
      </c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ht="15.75" x14ac:dyDescent="0.25">
      <c r="A13" s="22"/>
      <c r="B13" s="22"/>
      <c r="C13" s="84" t="s">
        <v>234</v>
      </c>
      <c r="D13" s="22"/>
      <c r="E13" s="22"/>
      <c r="F13" s="22"/>
      <c r="G13" s="22"/>
    </row>
    <row r="14" spans="1:7" x14ac:dyDescent="0.25">
      <c r="A14" s="22"/>
      <c r="B14" s="22"/>
      <c r="C14" s="66" t="s">
        <v>235</v>
      </c>
      <c r="D14" s="66" t="s">
        <v>13</v>
      </c>
      <c r="E14" s="66" t="s">
        <v>16</v>
      </c>
      <c r="F14" s="66" t="s">
        <v>19</v>
      </c>
      <c r="G14" s="22"/>
    </row>
    <row r="15" spans="1:7" x14ac:dyDescent="0.25">
      <c r="A15" s="22"/>
      <c r="B15" s="22"/>
      <c r="C15" s="66" t="s">
        <v>236</v>
      </c>
      <c r="D15" s="66" t="s">
        <v>237</v>
      </c>
      <c r="E15" s="66" t="s">
        <v>238</v>
      </c>
      <c r="F15" s="66" t="s">
        <v>239</v>
      </c>
      <c r="G15" s="22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16" sqref="H16"/>
    </sheetView>
  </sheetViews>
  <sheetFormatPr defaultRowHeight="16.5" x14ac:dyDescent="0.25"/>
  <cols>
    <col min="1" max="1" width="10.28515625" style="126" customWidth="1"/>
    <col min="2" max="2" width="20" style="126" customWidth="1"/>
    <col min="3" max="3" width="9.7109375" style="126" customWidth="1"/>
    <col min="4" max="4" width="11.28515625" style="126" customWidth="1"/>
    <col min="5" max="5" width="9.5703125" style="126" customWidth="1"/>
    <col min="6" max="6" width="13.85546875" style="126" customWidth="1"/>
    <col min="7" max="7" width="5.5703125" style="126" customWidth="1"/>
    <col min="8" max="8" width="12.28515625" style="126" customWidth="1"/>
    <col min="9" max="9" width="16.7109375" style="126" customWidth="1"/>
    <col min="10" max="10" width="15.140625" style="126" bestFit="1" customWidth="1"/>
    <col min="11" max="16384" width="9.140625" style="126"/>
  </cols>
  <sheetData>
    <row r="1" spans="1:10" ht="24.75" customHeight="1" x14ac:dyDescent="0.25">
      <c r="A1" s="124" t="s">
        <v>303</v>
      </c>
      <c r="B1" s="125"/>
      <c r="C1" s="125"/>
      <c r="D1" s="125"/>
      <c r="E1" s="125"/>
      <c r="F1" s="125"/>
      <c r="G1" s="125"/>
      <c r="H1" s="124" t="s">
        <v>321</v>
      </c>
      <c r="I1" s="125"/>
      <c r="J1" s="125"/>
    </row>
    <row r="2" spans="1:10" ht="33" x14ac:dyDescent="0.25">
      <c r="A2" s="134" t="s">
        <v>304</v>
      </c>
      <c r="B2" s="135" t="s">
        <v>305</v>
      </c>
      <c r="C2" s="134" t="s">
        <v>306</v>
      </c>
      <c r="D2" s="135" t="s">
        <v>307</v>
      </c>
      <c r="E2" s="135" t="s">
        <v>308</v>
      </c>
      <c r="F2" s="135" t="s">
        <v>309</v>
      </c>
      <c r="G2" s="125"/>
      <c r="H2" s="136" t="s">
        <v>304</v>
      </c>
      <c r="I2" s="136" t="s">
        <v>305</v>
      </c>
      <c r="J2" s="136" t="s">
        <v>310</v>
      </c>
    </row>
    <row r="3" spans="1:10" ht="29.25" customHeight="1" x14ac:dyDescent="0.25">
      <c r="A3" s="127" t="s">
        <v>311</v>
      </c>
      <c r="B3" s="128" t="str">
        <f>VLOOKUP(A3,  $H$3:$J$9, 2, 0)</f>
        <v>Áo thun</v>
      </c>
      <c r="C3" s="127">
        <v>350</v>
      </c>
      <c r="D3" s="128">
        <f>VLOOKUP(A3,$H$3:$J$8,3,0)</f>
        <v>110000</v>
      </c>
      <c r="E3" s="128">
        <f>IF(C3&lt;100,0,IF(C3&lt;=230,25,IF(C3&lt;=305,30,IF(C3&lt;=410,35))))</f>
        <v>35</v>
      </c>
      <c r="F3" s="128">
        <f>(C3-E3)*D3</f>
        <v>34650000</v>
      </c>
      <c r="G3" s="125"/>
      <c r="H3" s="129" t="s">
        <v>312</v>
      </c>
      <c r="I3" s="129" t="s">
        <v>323</v>
      </c>
      <c r="J3" s="131">
        <v>275000</v>
      </c>
    </row>
    <row r="4" spans="1:10" ht="29.25" customHeight="1" x14ac:dyDescent="0.25">
      <c r="A4" s="127" t="s">
        <v>313</v>
      </c>
      <c r="B4" s="128" t="str">
        <f t="shared" ref="B4:B8" si="0">VLOOKUP(A4,  $H$3:$J$9, 2, 0)</f>
        <v>Khẩu trang cũ</v>
      </c>
      <c r="C4" s="127">
        <v>74</v>
      </c>
      <c r="D4" s="128">
        <f t="shared" ref="D4:D8" si="1">VLOOKUP(A4,$H$3:$J$8,3,0)</f>
        <v>12000</v>
      </c>
      <c r="E4" s="128">
        <f t="shared" ref="E4:E8" si="2">IF(C4&lt;100,0,IF(C4&lt;=230,25,IF(C4&lt;=305,30,IF(C4&lt;=410,35))))</f>
        <v>0</v>
      </c>
      <c r="F4" s="128">
        <f t="shared" ref="F4:F8" si="3">(C4-E4)*D4</f>
        <v>888000</v>
      </c>
      <c r="G4" s="125"/>
      <c r="H4" s="129" t="s">
        <v>314</v>
      </c>
      <c r="I4" s="129" t="s">
        <v>315</v>
      </c>
      <c r="J4" s="131">
        <v>8000</v>
      </c>
    </row>
    <row r="5" spans="1:10" ht="29.25" customHeight="1" x14ac:dyDescent="0.25">
      <c r="A5" s="127" t="s">
        <v>316</v>
      </c>
      <c r="B5" s="128" t="str">
        <f t="shared" si="0"/>
        <v>áo khoát</v>
      </c>
      <c r="C5" s="127">
        <v>163</v>
      </c>
      <c r="D5" s="128">
        <f t="shared" si="1"/>
        <v>220000</v>
      </c>
      <c r="E5" s="128">
        <f t="shared" si="2"/>
        <v>25</v>
      </c>
      <c r="F5" s="128">
        <f t="shared" si="3"/>
        <v>30360000</v>
      </c>
      <c r="G5" s="125"/>
      <c r="H5" s="129" t="s">
        <v>311</v>
      </c>
      <c r="I5" s="129" t="s">
        <v>322</v>
      </c>
      <c r="J5" s="131">
        <v>110000</v>
      </c>
    </row>
    <row r="6" spans="1:10" ht="29.25" customHeight="1" x14ac:dyDescent="0.25">
      <c r="A6" s="127" t="s">
        <v>314</v>
      </c>
      <c r="B6" s="128" t="str">
        <f t="shared" si="0"/>
        <v>Huy hiệu đ</v>
      </c>
      <c r="C6" s="127">
        <v>228</v>
      </c>
      <c r="D6" s="128">
        <f t="shared" si="1"/>
        <v>8000</v>
      </c>
      <c r="E6" s="128">
        <f t="shared" si="2"/>
        <v>25</v>
      </c>
      <c r="F6" s="128">
        <f t="shared" si="3"/>
        <v>1624000</v>
      </c>
      <c r="G6" s="125"/>
      <c r="H6" s="129" t="s">
        <v>313</v>
      </c>
      <c r="I6" s="129" t="s">
        <v>317</v>
      </c>
      <c r="J6" s="131">
        <v>12000</v>
      </c>
    </row>
    <row r="7" spans="1:10" ht="29.25" customHeight="1" x14ac:dyDescent="0.25">
      <c r="A7" s="127" t="s">
        <v>318</v>
      </c>
      <c r="B7" s="128" t="str">
        <f t="shared" si="0"/>
        <v>cờ đoàn</v>
      </c>
      <c r="C7" s="127">
        <v>92</v>
      </c>
      <c r="D7" s="128">
        <f t="shared" si="1"/>
        <v>35000</v>
      </c>
      <c r="E7" s="128">
        <f t="shared" si="2"/>
        <v>0</v>
      </c>
      <c r="F7" s="128">
        <f t="shared" si="3"/>
        <v>3220000</v>
      </c>
      <c r="G7" s="125"/>
      <c r="H7" s="129" t="s">
        <v>316</v>
      </c>
      <c r="I7" s="129" t="s">
        <v>319</v>
      </c>
      <c r="J7" s="131">
        <v>220000</v>
      </c>
    </row>
    <row r="8" spans="1:10" ht="29.25" customHeight="1" x14ac:dyDescent="0.25">
      <c r="A8" s="127" t="s">
        <v>312</v>
      </c>
      <c r="B8" s="128" t="str">
        <f t="shared" si="0"/>
        <v>áo smi</v>
      </c>
      <c r="C8" s="127">
        <v>306</v>
      </c>
      <c r="D8" s="128">
        <f t="shared" si="1"/>
        <v>275000</v>
      </c>
      <c r="E8" s="128">
        <f t="shared" si="2"/>
        <v>35</v>
      </c>
      <c r="F8" s="128">
        <f t="shared" si="3"/>
        <v>74525000</v>
      </c>
      <c r="G8" s="125"/>
      <c r="H8" s="129" t="s">
        <v>318</v>
      </c>
      <c r="I8" s="129" t="s">
        <v>320</v>
      </c>
      <c r="J8" s="131">
        <v>35000</v>
      </c>
    </row>
    <row r="9" spans="1:10" ht="27" customHeight="1" x14ac:dyDescent="0.3">
      <c r="A9" s="127"/>
      <c r="B9" s="127"/>
      <c r="C9" s="127"/>
      <c r="D9" s="133" t="s">
        <v>210</v>
      </c>
      <c r="E9" s="130"/>
      <c r="F9" s="132">
        <f>SUM(F3:F8)</f>
        <v>145267000</v>
      </c>
      <c r="G9" s="125"/>
      <c r="H9" s="129"/>
      <c r="I9" s="129"/>
      <c r="J9" s="12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130" zoomScaleNormal="130" workbookViewId="0">
      <selection activeCell="E9" sqref="E9"/>
    </sheetView>
  </sheetViews>
  <sheetFormatPr defaultRowHeight="18.75" x14ac:dyDescent="0.3"/>
  <cols>
    <col min="1" max="1" width="9.140625" style="89"/>
    <col min="2" max="2" width="14.5703125" style="89" customWidth="1"/>
    <col min="3" max="5" width="9.28515625" style="89" bestFit="1" customWidth="1"/>
    <col min="6" max="6" width="14.42578125" style="89" bestFit="1" customWidth="1"/>
    <col min="7" max="7" width="5.28515625" style="89" customWidth="1"/>
    <col min="8" max="8" width="9.140625" style="89"/>
    <col min="9" max="9" width="14.5703125" style="89" customWidth="1"/>
    <col min="10" max="10" width="11" style="89" bestFit="1" customWidth="1"/>
    <col min="11" max="16384" width="9.140625" style="89"/>
  </cols>
  <sheetData>
    <row r="1" spans="1:10" ht="24.75" customHeight="1" x14ac:dyDescent="0.3">
      <c r="A1" s="137" t="s">
        <v>324</v>
      </c>
      <c r="B1" s="137"/>
      <c r="C1" s="137"/>
      <c r="D1" s="137"/>
      <c r="E1" s="137"/>
      <c r="F1" s="137"/>
      <c r="G1" s="137"/>
      <c r="H1" s="137"/>
      <c r="I1" s="137" t="s">
        <v>325</v>
      </c>
      <c r="J1" s="137"/>
    </row>
    <row r="2" spans="1:10" ht="56.25" x14ac:dyDescent="0.3">
      <c r="A2" s="138" t="s">
        <v>326</v>
      </c>
      <c r="B2" s="139" t="s">
        <v>327</v>
      </c>
      <c r="C2" s="140" t="s">
        <v>328</v>
      </c>
      <c r="D2" s="139" t="s">
        <v>329</v>
      </c>
      <c r="E2" s="139" t="s">
        <v>330</v>
      </c>
      <c r="F2" s="139" t="s">
        <v>331</v>
      </c>
      <c r="G2" s="137"/>
      <c r="H2" s="138" t="s">
        <v>326</v>
      </c>
      <c r="I2" s="138" t="s">
        <v>332</v>
      </c>
      <c r="J2" s="141" t="s">
        <v>310</v>
      </c>
    </row>
    <row r="3" spans="1:10" ht="29.25" customHeight="1" x14ac:dyDescent="0.3">
      <c r="A3" s="142" t="s">
        <v>333</v>
      </c>
      <c r="B3" s="143" t="str">
        <f>VLOOKUP(A3,$H$3:$J$6,2,0)</f>
        <v>XÀ BÔNG</v>
      </c>
      <c r="C3" s="142">
        <v>19</v>
      </c>
      <c r="D3" s="143">
        <f>VLOOKUP(A3,$H$3:$J$6,3,0)</f>
        <v>4200</v>
      </c>
      <c r="E3" s="143">
        <f>IF(C3&lt;=4,0,IF(C3&lt;=9,1,IF(C3&lt;=14,2,IF(C3&lt;=19,3,5))))</f>
        <v>3</v>
      </c>
      <c r="F3" s="143">
        <f>(C3-E3)*D3</f>
        <v>67200</v>
      </c>
      <c r="G3" s="137"/>
      <c r="H3" s="144" t="s">
        <v>333</v>
      </c>
      <c r="I3" s="144" t="s">
        <v>334</v>
      </c>
      <c r="J3" s="145">
        <v>4200</v>
      </c>
    </row>
    <row r="4" spans="1:10" ht="29.25" customHeight="1" x14ac:dyDescent="0.3">
      <c r="A4" s="142" t="s">
        <v>335</v>
      </c>
      <c r="B4" s="143" t="str">
        <f t="shared" ref="B4:B6" si="0">VLOOKUP(A4,$H$3:$J$6,2,0)</f>
        <v>Nước</v>
      </c>
      <c r="C4" s="142">
        <v>5</v>
      </c>
      <c r="D4" s="143">
        <f t="shared" ref="D4:D6" si="1">VLOOKUP(A4,$H$3:$J$6,3,0)</f>
        <v>4350</v>
      </c>
      <c r="E4" s="143">
        <f t="shared" ref="E4:E6" si="2">IF(C4&lt;=4,0,IF(C4&lt;=9,1,IF(C4&lt;=14,2,IF(C4&lt;=19,3,5))))</f>
        <v>1</v>
      </c>
      <c r="F4" s="143">
        <f t="shared" ref="F4:F6" si="3">(C4-E4)*D4</f>
        <v>17400</v>
      </c>
      <c r="G4" s="137"/>
      <c r="H4" s="144" t="s">
        <v>335</v>
      </c>
      <c r="I4" s="144" t="s">
        <v>336</v>
      </c>
      <c r="J4" s="145">
        <v>4350</v>
      </c>
    </row>
    <row r="5" spans="1:10" ht="29.25" customHeight="1" x14ac:dyDescent="0.3">
      <c r="A5" s="142" t="s">
        <v>337</v>
      </c>
      <c r="B5" s="143" t="str">
        <f t="shared" si="0"/>
        <v>Thực phẩm</v>
      </c>
      <c r="C5" s="142">
        <v>16</v>
      </c>
      <c r="D5" s="143">
        <f t="shared" si="1"/>
        <v>2000</v>
      </c>
      <c r="E5" s="143">
        <f t="shared" si="2"/>
        <v>3</v>
      </c>
      <c r="F5" s="143">
        <f t="shared" si="3"/>
        <v>26000</v>
      </c>
      <c r="G5" s="137"/>
      <c r="H5" s="144" t="s">
        <v>338</v>
      </c>
      <c r="I5" s="144" t="s">
        <v>339</v>
      </c>
      <c r="J5" s="145">
        <v>1000</v>
      </c>
    </row>
    <row r="6" spans="1:10" ht="29.25" customHeight="1" x14ac:dyDescent="0.3">
      <c r="A6" s="142" t="s">
        <v>338</v>
      </c>
      <c r="B6" s="143" t="str">
        <f t="shared" si="0"/>
        <v>súp Knor</v>
      </c>
      <c r="C6" s="142">
        <v>1</v>
      </c>
      <c r="D6" s="143">
        <f t="shared" si="1"/>
        <v>1000</v>
      </c>
      <c r="E6" s="143">
        <f t="shared" si="2"/>
        <v>0</v>
      </c>
      <c r="F6" s="143">
        <f t="shared" si="3"/>
        <v>1000</v>
      </c>
      <c r="G6" s="137"/>
      <c r="H6" s="144" t="s">
        <v>337</v>
      </c>
      <c r="I6" s="144" t="s">
        <v>340</v>
      </c>
      <c r="J6" s="145">
        <v>2000</v>
      </c>
    </row>
    <row r="7" spans="1:10" ht="29.25" customHeight="1" x14ac:dyDescent="0.35">
      <c r="A7" s="142"/>
      <c r="B7" s="142"/>
      <c r="C7" s="146"/>
      <c r="D7" s="147" t="s">
        <v>341</v>
      </c>
      <c r="E7" s="148"/>
      <c r="F7" s="149">
        <f>SUM(F3:F6)</f>
        <v>111600</v>
      </c>
      <c r="G7" s="137"/>
      <c r="H7" s="150"/>
      <c r="I7" s="150"/>
      <c r="J7" s="150"/>
    </row>
    <row r="8" spans="1:10" ht="29.25" customHeight="1" x14ac:dyDescent="0.3"/>
    <row r="9" spans="1:10" ht="27" customHeight="1" x14ac:dyDescent="0.3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20" sqref="D20"/>
    </sheetView>
  </sheetViews>
  <sheetFormatPr defaultRowHeight="15" x14ac:dyDescent="0.25"/>
  <cols>
    <col min="1" max="1" width="17.7109375" customWidth="1"/>
    <col min="2" max="2" width="15.7109375" bestFit="1" customWidth="1"/>
    <col min="3" max="3" width="18" customWidth="1"/>
    <col min="4" max="4" width="17.5703125" bestFit="1" customWidth="1"/>
    <col min="5" max="5" width="14.140625" bestFit="1" customWidth="1"/>
    <col min="6" max="6" width="12.140625" bestFit="1" customWidth="1"/>
    <col min="7" max="7" width="12.7109375" bestFit="1" customWidth="1"/>
    <col min="8" max="8" width="12.42578125" bestFit="1" customWidth="1"/>
  </cols>
  <sheetData>
    <row r="1" spans="1:8" ht="25.5" x14ac:dyDescent="0.25">
      <c r="A1" s="118" t="s">
        <v>271</v>
      </c>
      <c r="B1" s="118"/>
      <c r="C1" s="118"/>
      <c r="D1" s="118"/>
      <c r="E1" s="118"/>
      <c r="F1" s="118"/>
      <c r="G1" s="118"/>
      <c r="H1" s="118"/>
    </row>
    <row r="2" spans="1:8" ht="18.75" x14ac:dyDescent="0.25">
      <c r="A2" s="91" t="s">
        <v>272</v>
      </c>
      <c r="B2" s="91" t="s">
        <v>273</v>
      </c>
      <c r="C2" s="91" t="s">
        <v>274</v>
      </c>
      <c r="D2" s="91" t="s">
        <v>275</v>
      </c>
      <c r="E2" s="91" t="s">
        <v>276</v>
      </c>
      <c r="F2" s="91" t="s">
        <v>277</v>
      </c>
      <c r="G2" s="91" t="s">
        <v>278</v>
      </c>
      <c r="H2" s="91" t="s">
        <v>173</v>
      </c>
    </row>
    <row r="3" spans="1:8" ht="18.75" x14ac:dyDescent="0.25">
      <c r="A3" s="91" t="s">
        <v>279</v>
      </c>
      <c r="B3" s="91" t="s">
        <v>280</v>
      </c>
      <c r="C3" s="105" t="str">
        <f>HLOOKUP(LEFT(B3,2),$C$12:$F$13,2,0)</f>
        <v>Cá Hộp</v>
      </c>
      <c r="D3" s="91">
        <v>826</v>
      </c>
      <c r="E3" s="100">
        <v>18000</v>
      </c>
      <c r="F3" s="100">
        <v>3304</v>
      </c>
      <c r="G3" s="105">
        <f>IF(D3&gt;750,200000, IF(D3&gt;=500, 100000, 0))</f>
        <v>200000</v>
      </c>
      <c r="H3" s="106">
        <f>G3+F3+E3</f>
        <v>221304</v>
      </c>
    </row>
    <row r="4" spans="1:8" ht="18.75" x14ac:dyDescent="0.25">
      <c r="A4" s="91" t="s">
        <v>281</v>
      </c>
      <c r="B4" s="91" t="s">
        <v>282</v>
      </c>
      <c r="C4" s="105" t="str">
        <f t="shared" ref="C4:C8" si="0">HLOOKUP(LEFT(B4,2),$C$12:$F$13,2,0)</f>
        <v>Trái Cây Hộp</v>
      </c>
      <c r="D4" s="91">
        <v>987</v>
      </c>
      <c r="E4" s="100">
        <v>24000</v>
      </c>
      <c r="F4" s="100">
        <v>3948</v>
      </c>
      <c r="G4" s="105">
        <f t="shared" ref="G4:G8" si="1">IF(D4&gt;750,200000, IF(D4&gt;=500, 100000, 0))</f>
        <v>200000</v>
      </c>
      <c r="H4" s="106">
        <f t="shared" ref="H4:H8" si="2">G4+F4+E4</f>
        <v>227948</v>
      </c>
    </row>
    <row r="5" spans="1:8" ht="18.75" x14ac:dyDescent="0.25">
      <c r="A5" s="91" t="s">
        <v>283</v>
      </c>
      <c r="B5" s="91" t="s">
        <v>284</v>
      </c>
      <c r="C5" s="105" t="str">
        <f t="shared" si="0"/>
        <v>Thịt Nguội</v>
      </c>
      <c r="D5" s="91">
        <v>450</v>
      </c>
      <c r="E5" s="100">
        <v>32000</v>
      </c>
      <c r="F5" s="100">
        <v>2700</v>
      </c>
      <c r="G5" s="105">
        <f t="shared" si="1"/>
        <v>0</v>
      </c>
      <c r="H5" s="106">
        <f t="shared" si="2"/>
        <v>34700</v>
      </c>
    </row>
    <row r="6" spans="1:8" ht="18.75" x14ac:dyDescent="0.25">
      <c r="A6" s="91" t="s">
        <v>285</v>
      </c>
      <c r="B6" s="91" t="s">
        <v>286</v>
      </c>
      <c r="C6" s="105" t="str">
        <f t="shared" si="0"/>
        <v>Xúc Xích</v>
      </c>
      <c r="D6" s="91">
        <v>501</v>
      </c>
      <c r="E6" s="100">
        <v>15000</v>
      </c>
      <c r="F6" s="100">
        <v>4780</v>
      </c>
      <c r="G6" s="105">
        <f>IF(D6&gt;750,200000, IF(D6&gt;=500, 100000, 0))</f>
        <v>100000</v>
      </c>
      <c r="H6" s="106">
        <f t="shared" si="2"/>
        <v>119780</v>
      </c>
    </row>
    <row r="7" spans="1:8" ht="18.75" x14ac:dyDescent="0.25">
      <c r="A7" s="91" t="s">
        <v>287</v>
      </c>
      <c r="B7" s="91" t="s">
        <v>284</v>
      </c>
      <c r="C7" s="105" t="str">
        <f t="shared" si="0"/>
        <v>Thịt Nguội</v>
      </c>
      <c r="D7" s="91">
        <v>749</v>
      </c>
      <c r="E7" s="100">
        <v>21000</v>
      </c>
      <c r="F7" s="101">
        <v>4.6440000000000001</v>
      </c>
      <c r="G7" s="105">
        <f t="shared" si="1"/>
        <v>100000</v>
      </c>
      <c r="H7" s="106">
        <f t="shared" si="2"/>
        <v>121004.644</v>
      </c>
    </row>
    <row r="8" spans="1:8" ht="18.75" x14ac:dyDescent="0.25">
      <c r="A8" s="91" t="s">
        <v>288</v>
      </c>
      <c r="B8" s="91" t="s">
        <v>282</v>
      </c>
      <c r="C8" s="105" t="str">
        <f t="shared" si="0"/>
        <v>Trái Cây Hộp</v>
      </c>
      <c r="D8" s="91">
        <v>760</v>
      </c>
      <c r="E8" s="100">
        <v>23000</v>
      </c>
      <c r="F8" s="100">
        <v>1000</v>
      </c>
      <c r="G8" s="105">
        <f t="shared" si="1"/>
        <v>200000</v>
      </c>
      <c r="H8" s="106">
        <f t="shared" si="2"/>
        <v>224000</v>
      </c>
    </row>
    <row r="9" spans="1:8" ht="18.75" x14ac:dyDescent="0.25">
      <c r="A9" s="87"/>
      <c r="B9" s="87"/>
      <c r="C9" s="102" t="s">
        <v>289</v>
      </c>
      <c r="D9" s="107">
        <f>SUM(D3:D8)</f>
        <v>4273</v>
      </c>
      <c r="E9" s="108">
        <f>SUM(E3:E8)</f>
        <v>133000</v>
      </c>
      <c r="F9" s="108">
        <f>SUM(F3:F8)</f>
        <v>15736.644</v>
      </c>
      <c r="G9" s="107">
        <f>SUM(G3:G8)</f>
        <v>800000</v>
      </c>
      <c r="H9" s="108">
        <f>SUM(H3:H8)</f>
        <v>948736.64399999997</v>
      </c>
    </row>
    <row r="10" spans="1:8" ht="18.75" x14ac:dyDescent="0.25">
      <c r="A10" s="87"/>
      <c r="B10" s="87"/>
      <c r="C10" s="87"/>
      <c r="D10" s="87"/>
      <c r="E10" s="87"/>
      <c r="F10" s="87"/>
      <c r="G10" s="87"/>
      <c r="H10" s="87"/>
    </row>
    <row r="11" spans="1:8" ht="18.75" x14ac:dyDescent="0.25">
      <c r="A11" s="87"/>
      <c r="B11" s="87"/>
      <c r="C11" s="87" t="s">
        <v>290</v>
      </c>
      <c r="D11" s="87"/>
      <c r="E11" s="87"/>
      <c r="F11" s="87"/>
      <c r="G11" s="87"/>
      <c r="H11" s="87"/>
    </row>
    <row r="12" spans="1:8" ht="18.75" x14ac:dyDescent="0.25">
      <c r="A12" s="87"/>
      <c r="B12" s="103" t="s">
        <v>291</v>
      </c>
      <c r="C12" s="103" t="s">
        <v>292</v>
      </c>
      <c r="D12" s="103" t="s">
        <v>293</v>
      </c>
      <c r="E12" s="103" t="s">
        <v>294</v>
      </c>
      <c r="F12" s="103" t="s">
        <v>295</v>
      </c>
      <c r="G12" s="87"/>
      <c r="H12" s="87"/>
    </row>
    <row r="13" spans="1:8" ht="18.75" x14ac:dyDescent="0.25">
      <c r="A13" s="87"/>
      <c r="B13" s="103" t="s">
        <v>296</v>
      </c>
      <c r="C13" s="104" t="s">
        <v>297</v>
      </c>
      <c r="D13" s="104" t="s">
        <v>298</v>
      </c>
      <c r="E13" s="104" t="s">
        <v>299</v>
      </c>
      <c r="F13" s="104" t="s">
        <v>300</v>
      </c>
      <c r="G13" s="87"/>
      <c r="H13" s="87"/>
    </row>
    <row r="14" spans="1:8" ht="18.75" x14ac:dyDescent="0.25">
      <c r="A14" s="87"/>
      <c r="B14" s="103" t="s">
        <v>301</v>
      </c>
      <c r="C14" s="91">
        <v>2</v>
      </c>
      <c r="D14" s="91">
        <v>4</v>
      </c>
      <c r="E14" s="91">
        <v>6</v>
      </c>
      <c r="F14" s="91">
        <v>8</v>
      </c>
      <c r="G14" s="87"/>
      <c r="H14" s="87"/>
    </row>
    <row r="15" spans="1:8" ht="18.75" x14ac:dyDescent="0.25">
      <c r="A15" s="87"/>
      <c r="B15" s="103" t="s">
        <v>302</v>
      </c>
      <c r="C15" s="91">
        <v>4</v>
      </c>
      <c r="D15" s="91">
        <v>6</v>
      </c>
      <c r="E15" s="91">
        <v>8</v>
      </c>
      <c r="F15" s="91">
        <v>10</v>
      </c>
      <c r="G15" s="87"/>
      <c r="H15" s="87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60" zoomScaleNormal="160" workbookViewId="0">
      <selection activeCell="F14" sqref="F14"/>
    </sheetView>
  </sheetViews>
  <sheetFormatPr defaultRowHeight="15" x14ac:dyDescent="0.25"/>
  <cols>
    <col min="1" max="1" width="5.42578125" customWidth="1"/>
    <col min="2" max="2" width="12" customWidth="1"/>
    <col min="3" max="4" width="11.85546875" customWidth="1"/>
    <col min="5" max="5" width="12" customWidth="1"/>
    <col min="6" max="6" width="15.42578125" customWidth="1"/>
    <col min="7" max="8" width="11.42578125" customWidth="1"/>
  </cols>
  <sheetData>
    <row r="1" spans="1:9" ht="15.75" x14ac:dyDescent="0.25">
      <c r="A1" s="119" t="s">
        <v>166</v>
      </c>
      <c r="B1" s="119"/>
      <c r="C1" s="119"/>
      <c r="D1" s="119"/>
      <c r="E1" s="119"/>
      <c r="F1" s="119"/>
      <c r="G1" s="119"/>
      <c r="H1" s="119"/>
      <c r="I1" s="71"/>
    </row>
    <row r="2" spans="1:9" ht="15.75" x14ac:dyDescent="0.25">
      <c r="A2" s="72" t="s">
        <v>46</v>
      </c>
      <c r="B2" s="72" t="s">
        <v>167</v>
      </c>
      <c r="C2" s="72" t="s">
        <v>168</v>
      </c>
      <c r="D2" s="72" t="s">
        <v>169</v>
      </c>
      <c r="E2" s="72" t="s">
        <v>170</v>
      </c>
      <c r="F2" s="72" t="s">
        <v>171</v>
      </c>
      <c r="G2" s="72" t="s">
        <v>172</v>
      </c>
      <c r="H2" s="72" t="s">
        <v>173</v>
      </c>
      <c r="I2" s="22"/>
    </row>
    <row r="3" spans="1:9" x14ac:dyDescent="0.25">
      <c r="A3" s="66">
        <v>1</v>
      </c>
      <c r="B3" s="66" t="s">
        <v>174</v>
      </c>
      <c r="C3" s="73" t="str">
        <f t="shared" ref="C3:C9" si="0">VLOOKUP(LEFT(B3,1),$B$13:$C$15,2,0)</f>
        <v>Nhớt</v>
      </c>
      <c r="D3" s="66" t="s">
        <v>175</v>
      </c>
      <c r="E3" s="73">
        <f t="shared" ref="E3:E9" si="1">VLOOKUP(C3,$C$13:$D$15,2,0)</f>
        <v>9000</v>
      </c>
      <c r="F3" s="66">
        <v>10000</v>
      </c>
      <c r="G3" s="66">
        <v>1800000</v>
      </c>
      <c r="H3" s="73">
        <f t="shared" ref="H3:H9" si="2">E3*F3+G3</f>
        <v>91800000</v>
      </c>
      <c r="I3" s="22"/>
    </row>
    <row r="4" spans="1:9" x14ac:dyDescent="0.25">
      <c r="A4" s="66">
        <v>2</v>
      </c>
      <c r="B4" s="66" t="s">
        <v>176</v>
      </c>
      <c r="C4" s="73" t="str">
        <f t="shared" si="0"/>
        <v>Nhớt</v>
      </c>
      <c r="D4" s="66" t="s">
        <v>177</v>
      </c>
      <c r="E4" s="73">
        <f t="shared" si="1"/>
        <v>9000</v>
      </c>
      <c r="F4" s="66">
        <v>5000</v>
      </c>
      <c r="G4" s="66">
        <v>900000</v>
      </c>
      <c r="H4" s="73">
        <f t="shared" si="2"/>
        <v>45900000</v>
      </c>
      <c r="I4" s="22"/>
    </row>
    <row r="5" spans="1:9" x14ac:dyDescent="0.25">
      <c r="A5" s="66">
        <v>3</v>
      </c>
      <c r="B5" s="66" t="s">
        <v>178</v>
      </c>
      <c r="C5" s="73" t="str">
        <f t="shared" si="0"/>
        <v>Nhớt</v>
      </c>
      <c r="D5" s="66" t="s">
        <v>179</v>
      </c>
      <c r="E5" s="73">
        <f t="shared" si="1"/>
        <v>9000</v>
      </c>
      <c r="F5" s="66">
        <v>4500</v>
      </c>
      <c r="G5" s="66">
        <v>810000</v>
      </c>
      <c r="H5" s="73">
        <f t="shared" si="2"/>
        <v>41310000</v>
      </c>
      <c r="I5" s="22"/>
    </row>
    <row r="6" spans="1:9" x14ac:dyDescent="0.25">
      <c r="A6" s="66">
        <v>5</v>
      </c>
      <c r="B6" s="66" t="s">
        <v>180</v>
      </c>
      <c r="C6" s="73" t="str">
        <f t="shared" si="0"/>
        <v>Dầu</v>
      </c>
      <c r="D6" s="66" t="s">
        <v>181</v>
      </c>
      <c r="E6" s="73">
        <f t="shared" si="1"/>
        <v>6200</v>
      </c>
      <c r="F6" s="66">
        <v>3600</v>
      </c>
      <c r="G6" s="66">
        <v>781200</v>
      </c>
      <c r="H6" s="73">
        <f t="shared" si="2"/>
        <v>23101200</v>
      </c>
      <c r="I6" s="22"/>
    </row>
    <row r="7" spans="1:9" x14ac:dyDescent="0.25">
      <c r="A7" s="66">
        <v>4</v>
      </c>
      <c r="B7" s="66" t="s">
        <v>182</v>
      </c>
      <c r="C7" s="73" t="str">
        <f t="shared" si="0"/>
        <v>Dầu</v>
      </c>
      <c r="D7" s="66" t="s">
        <v>179</v>
      </c>
      <c r="E7" s="73">
        <f t="shared" si="1"/>
        <v>6200</v>
      </c>
      <c r="F7" s="66">
        <v>3500</v>
      </c>
      <c r="G7" s="66">
        <v>759500</v>
      </c>
      <c r="H7" s="73">
        <f t="shared" si="2"/>
        <v>22459500</v>
      </c>
      <c r="I7" s="22"/>
    </row>
    <row r="8" spans="1:9" x14ac:dyDescent="0.25">
      <c r="A8" s="66">
        <v>7</v>
      </c>
      <c r="B8" s="66" t="s">
        <v>183</v>
      </c>
      <c r="C8" s="73" t="str">
        <f t="shared" si="0"/>
        <v>Xăng</v>
      </c>
      <c r="D8" s="66" t="s">
        <v>184</v>
      </c>
      <c r="E8" s="73">
        <f t="shared" si="1"/>
        <v>7000</v>
      </c>
      <c r="F8" s="66">
        <v>2600</v>
      </c>
      <c r="G8" s="66">
        <v>546000</v>
      </c>
      <c r="H8" s="73">
        <f t="shared" si="2"/>
        <v>18746000</v>
      </c>
      <c r="I8" s="22"/>
    </row>
    <row r="9" spans="1:9" x14ac:dyDescent="0.25">
      <c r="A9" s="66">
        <v>6</v>
      </c>
      <c r="B9" s="66" t="s">
        <v>185</v>
      </c>
      <c r="C9" s="73" t="str">
        <f t="shared" si="0"/>
        <v>Dầu</v>
      </c>
      <c r="D9" s="66" t="s">
        <v>186</v>
      </c>
      <c r="E9" s="73">
        <f t="shared" si="1"/>
        <v>6200</v>
      </c>
      <c r="F9" s="66">
        <v>2400</v>
      </c>
      <c r="G9" s="66">
        <v>0</v>
      </c>
      <c r="H9" s="73">
        <f t="shared" si="2"/>
        <v>14880000</v>
      </c>
      <c r="I9" s="22"/>
    </row>
    <row r="10" spans="1:9" ht="6.7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15.75" x14ac:dyDescent="0.25">
      <c r="A11" s="22"/>
      <c r="B11" s="22"/>
      <c r="C11" s="74" t="s">
        <v>187</v>
      </c>
      <c r="D11" s="22"/>
      <c r="E11" s="22"/>
      <c r="F11" s="22"/>
      <c r="G11" s="22"/>
      <c r="H11" s="22"/>
      <c r="I11" s="22"/>
    </row>
    <row r="12" spans="1:9" x14ac:dyDescent="0.25">
      <c r="A12" s="22"/>
      <c r="B12" s="66" t="s">
        <v>167</v>
      </c>
      <c r="C12" s="66" t="s">
        <v>168</v>
      </c>
      <c r="D12" s="66" t="s">
        <v>188</v>
      </c>
      <c r="E12" s="22"/>
      <c r="F12" s="22"/>
      <c r="G12" s="22"/>
      <c r="H12" s="22"/>
      <c r="I12" s="22"/>
    </row>
    <row r="13" spans="1:9" x14ac:dyDescent="0.25">
      <c r="A13" s="22"/>
      <c r="B13" s="66" t="s">
        <v>92</v>
      </c>
      <c r="C13" s="66" t="s">
        <v>189</v>
      </c>
      <c r="D13" s="66">
        <v>7000</v>
      </c>
      <c r="E13" s="22"/>
      <c r="F13" s="22"/>
      <c r="G13" s="22"/>
      <c r="H13" s="22"/>
      <c r="I13" s="22"/>
    </row>
    <row r="14" spans="1:9" x14ac:dyDescent="0.25">
      <c r="A14" s="22"/>
      <c r="B14" s="66" t="s">
        <v>22</v>
      </c>
      <c r="C14" s="66" t="s">
        <v>190</v>
      </c>
      <c r="D14" s="66">
        <v>6200</v>
      </c>
      <c r="E14" s="22"/>
      <c r="F14" s="22"/>
      <c r="G14" s="22"/>
      <c r="H14" s="22"/>
      <c r="I14" s="22"/>
    </row>
    <row r="15" spans="1:9" x14ac:dyDescent="0.25">
      <c r="A15" s="22"/>
      <c r="B15" s="66" t="s">
        <v>191</v>
      </c>
      <c r="C15" s="66" t="s">
        <v>192</v>
      </c>
      <c r="D15" s="66">
        <v>9000</v>
      </c>
      <c r="E15" s="22"/>
      <c r="F15" s="22"/>
      <c r="G15" s="22"/>
      <c r="H15" s="22"/>
      <c r="I15" s="22"/>
    </row>
    <row r="16" spans="1:9" x14ac:dyDescent="0.25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0" workbookViewId="0">
      <selection activeCell="G12" sqref="G12"/>
    </sheetView>
  </sheetViews>
  <sheetFormatPr defaultRowHeight="31.5" customHeight="1" x14ac:dyDescent="0.25"/>
  <cols>
    <col min="1" max="1" width="9.140625" style="27"/>
    <col min="2" max="2" width="10.42578125" style="28" customWidth="1"/>
    <col min="3" max="3" width="18.28515625" style="28" customWidth="1"/>
    <col min="4" max="4" width="19.5703125" style="28" customWidth="1"/>
    <col min="5" max="6" width="9.140625" style="28"/>
    <col min="7" max="7" width="18.42578125" style="28" customWidth="1"/>
    <col min="8" max="8" width="12.5703125" style="27" customWidth="1"/>
    <col min="9" max="9" width="5.85546875" style="28" customWidth="1"/>
    <col min="10" max="10" width="13" style="40" customWidth="1"/>
    <col min="11" max="11" width="9.140625" style="29"/>
    <col min="12" max="16384" width="9.140625" style="28"/>
  </cols>
  <sheetData>
    <row r="1" spans="1:11" ht="31.5" customHeight="1" x14ac:dyDescent="0.25">
      <c r="J1" s="29"/>
    </row>
    <row r="2" spans="1:11" ht="31.5" customHeight="1" x14ac:dyDescent="0.25">
      <c r="A2" s="30" t="s">
        <v>46</v>
      </c>
      <c r="B2" s="31" t="s">
        <v>47</v>
      </c>
      <c r="C2" s="97" t="s">
        <v>48</v>
      </c>
      <c r="D2" s="96" t="s">
        <v>49</v>
      </c>
      <c r="E2" s="32" t="s">
        <v>50</v>
      </c>
      <c r="F2" s="32" t="s">
        <v>51</v>
      </c>
      <c r="G2" s="98" t="s">
        <v>52</v>
      </c>
      <c r="H2" s="99" t="s">
        <v>53</v>
      </c>
      <c r="J2" s="33" t="s">
        <v>54</v>
      </c>
      <c r="K2" s="34" t="s">
        <v>55</v>
      </c>
    </row>
    <row r="3" spans="1:11" ht="31.5" customHeight="1" x14ac:dyDescent="0.25">
      <c r="A3" s="35">
        <v>1</v>
      </c>
      <c r="B3" s="36" t="s">
        <v>56</v>
      </c>
      <c r="C3" s="36" t="str">
        <f t="shared" ref="C3:C9" si="0">VLOOKUP(J3,   $B$11:$F$18, 2,0)</f>
        <v>AC MILAN</v>
      </c>
      <c r="D3" s="36" t="str">
        <f t="shared" ref="D3:D9" si="1">VLOOKUP(K3,    $D$12:$E$18,  2, 0)</f>
        <v>Ý</v>
      </c>
      <c r="E3" s="36">
        <v>70000</v>
      </c>
      <c r="F3" s="36">
        <v>50</v>
      </c>
      <c r="G3" s="37">
        <f>E3*F3</f>
        <v>3500000</v>
      </c>
      <c r="H3" s="35" t="str">
        <f>IF(E3&gt;=70000,  "LÃI", "LỖ TO")</f>
        <v>LÃI</v>
      </c>
      <c r="J3" s="38" t="str">
        <f>MID(B3, 2, 2)</f>
        <v>AC</v>
      </c>
      <c r="K3" s="39" t="str">
        <f>LEFT(B3, 1)</f>
        <v>I</v>
      </c>
    </row>
    <row r="4" spans="1:11" ht="31.5" customHeight="1" x14ac:dyDescent="0.25">
      <c r="A4" s="35">
        <v>2</v>
      </c>
      <c r="B4" s="36" t="s">
        <v>57</v>
      </c>
      <c r="C4" s="36" t="str">
        <f t="shared" si="0"/>
        <v>MANT</v>
      </c>
      <c r="D4" s="36" t="str">
        <f t="shared" si="1"/>
        <v>ANH</v>
      </c>
      <c r="E4" s="36">
        <v>60000</v>
      </c>
      <c r="F4" s="36">
        <v>60</v>
      </c>
      <c r="G4" s="37">
        <f t="shared" ref="G4:G9" si="2">E4*F4</f>
        <v>3600000</v>
      </c>
      <c r="H4" s="35" t="str">
        <f t="shared" ref="H4:H9" si="3">IF(E4&gt;=70000,  "LÃI", "LỖ TO")</f>
        <v>LỖ TO</v>
      </c>
      <c r="J4" s="38" t="str">
        <f t="shared" ref="J4:J9" si="4">MID(B4, 2, 2)</f>
        <v>MU</v>
      </c>
      <c r="K4" s="39" t="str">
        <f t="shared" ref="K4:K9" si="5">LEFT(B4, 1)</f>
        <v>E</v>
      </c>
    </row>
    <row r="5" spans="1:11" ht="31.5" customHeight="1" x14ac:dyDescent="0.25">
      <c r="A5" s="35">
        <v>3</v>
      </c>
      <c r="B5" s="36" t="s">
        <v>58</v>
      </c>
      <c r="C5" s="36" t="str">
        <f t="shared" si="0"/>
        <v>PARISG</v>
      </c>
      <c r="D5" s="36" t="str">
        <f t="shared" si="1"/>
        <v>PHÁP</v>
      </c>
      <c r="E5" s="36">
        <v>50000</v>
      </c>
      <c r="F5" s="36">
        <v>70</v>
      </c>
      <c r="G5" s="37">
        <f t="shared" si="2"/>
        <v>3500000</v>
      </c>
      <c r="H5" s="35" t="str">
        <f t="shared" si="3"/>
        <v>LỖ TO</v>
      </c>
      <c r="J5" s="38" t="str">
        <f t="shared" si="4"/>
        <v>PS</v>
      </c>
      <c r="K5" s="39" t="str">
        <f t="shared" si="5"/>
        <v>F</v>
      </c>
    </row>
    <row r="6" spans="1:11" ht="31.5" customHeight="1" x14ac:dyDescent="0.25">
      <c r="A6" s="35">
        <v>4</v>
      </c>
      <c r="B6" s="36" t="s">
        <v>59</v>
      </c>
      <c r="C6" s="36" t="str">
        <f t="shared" si="0"/>
        <v>BARCE</v>
      </c>
      <c r="D6" s="36" t="str">
        <f t="shared" si="1"/>
        <v>TÂY</v>
      </c>
      <c r="E6" s="36">
        <v>10000</v>
      </c>
      <c r="F6" s="36">
        <v>80</v>
      </c>
      <c r="G6" s="37">
        <f t="shared" si="2"/>
        <v>800000</v>
      </c>
      <c r="H6" s="35" t="str">
        <f t="shared" si="3"/>
        <v>LỖ TO</v>
      </c>
      <c r="J6" s="38" t="str">
        <f t="shared" si="4"/>
        <v>BA</v>
      </c>
      <c r="K6" s="39" t="str">
        <f t="shared" si="5"/>
        <v>S</v>
      </c>
    </row>
    <row r="7" spans="1:11" ht="31.5" customHeight="1" x14ac:dyDescent="0.25">
      <c r="A7" s="35">
        <v>5</v>
      </c>
      <c r="B7" s="36" t="s">
        <v>60</v>
      </c>
      <c r="C7" s="36" t="str">
        <f t="shared" si="0"/>
        <v>REAL</v>
      </c>
      <c r="D7" s="36" t="str">
        <f t="shared" si="1"/>
        <v>TÂY</v>
      </c>
      <c r="E7" s="36">
        <v>80000</v>
      </c>
      <c r="F7" s="36">
        <v>81</v>
      </c>
      <c r="G7" s="37">
        <f t="shared" si="2"/>
        <v>6480000</v>
      </c>
      <c r="H7" s="35" t="str">
        <f t="shared" si="3"/>
        <v>LÃI</v>
      </c>
      <c r="J7" s="38" t="str">
        <f t="shared" si="4"/>
        <v>RE</v>
      </c>
      <c r="K7" s="39" t="str">
        <f t="shared" si="5"/>
        <v>S</v>
      </c>
    </row>
    <row r="8" spans="1:11" ht="31.5" customHeight="1" x14ac:dyDescent="0.25">
      <c r="A8" s="35">
        <v>6</v>
      </c>
      <c r="B8" s="36" t="s">
        <v>61</v>
      </c>
      <c r="C8" s="36" t="str">
        <f t="shared" si="0"/>
        <v>BAYEM</v>
      </c>
      <c r="D8" s="36" t="str">
        <f t="shared" si="1"/>
        <v>ĐỨC</v>
      </c>
      <c r="E8" s="36">
        <v>70000</v>
      </c>
      <c r="F8" s="36">
        <v>82</v>
      </c>
      <c r="G8" s="37">
        <f t="shared" si="2"/>
        <v>5740000</v>
      </c>
      <c r="H8" s="35" t="str">
        <f t="shared" si="3"/>
        <v>LÃI</v>
      </c>
      <c r="J8" s="38" t="str">
        <f t="shared" si="4"/>
        <v>BM</v>
      </c>
      <c r="K8" s="39" t="str">
        <f t="shared" si="5"/>
        <v>G</v>
      </c>
    </row>
    <row r="9" spans="1:11" ht="31.5" customHeight="1" x14ac:dyDescent="0.25">
      <c r="A9" s="35">
        <v>7</v>
      </c>
      <c r="B9" s="36" t="s">
        <v>62</v>
      </c>
      <c r="C9" s="36" t="str">
        <f t="shared" si="0"/>
        <v>BENFIEA</v>
      </c>
      <c r="D9" s="36" t="str">
        <f t="shared" si="1"/>
        <v>BỒ</v>
      </c>
      <c r="E9" s="36">
        <v>40000</v>
      </c>
      <c r="F9" s="36">
        <v>83</v>
      </c>
      <c r="G9" s="37">
        <f t="shared" si="2"/>
        <v>3320000</v>
      </c>
      <c r="H9" s="35" t="str">
        <f t="shared" si="3"/>
        <v>LỖ TO</v>
      </c>
      <c r="J9" s="38" t="str">
        <f t="shared" si="4"/>
        <v>BE</v>
      </c>
      <c r="K9" s="39" t="str">
        <f t="shared" si="5"/>
        <v>P</v>
      </c>
    </row>
    <row r="10" spans="1:11" ht="31.5" customHeight="1" x14ac:dyDescent="0.25">
      <c r="B10" s="120" t="s">
        <v>63</v>
      </c>
      <c r="C10" s="121"/>
      <c r="D10" s="121"/>
      <c r="E10" s="121"/>
    </row>
    <row r="11" spans="1:11" ht="31.5" customHeight="1" x14ac:dyDescent="0.25">
      <c r="B11" s="41" t="s">
        <v>64</v>
      </c>
      <c r="C11" s="42" t="s">
        <v>48</v>
      </c>
      <c r="D11" s="43" t="s">
        <v>65</v>
      </c>
      <c r="E11" s="43" t="s">
        <v>66</v>
      </c>
    </row>
    <row r="12" spans="1:11" ht="31.5" customHeight="1" x14ac:dyDescent="0.25">
      <c r="B12" s="44" t="s">
        <v>67</v>
      </c>
      <c r="C12" s="44" t="s">
        <v>68</v>
      </c>
      <c r="D12" s="45" t="s">
        <v>69</v>
      </c>
      <c r="E12" s="45" t="s">
        <v>70</v>
      </c>
    </row>
    <row r="13" spans="1:11" ht="31.5" customHeight="1" x14ac:dyDescent="0.25">
      <c r="B13" s="44" t="s">
        <v>71</v>
      </c>
      <c r="C13" s="44" t="s">
        <v>72</v>
      </c>
      <c r="D13" s="45" t="s">
        <v>73</v>
      </c>
      <c r="E13" s="45" t="s">
        <v>74</v>
      </c>
    </row>
    <row r="14" spans="1:11" ht="31.5" customHeight="1" x14ac:dyDescent="0.25">
      <c r="B14" s="44" t="s">
        <v>75</v>
      </c>
      <c r="C14" s="44" t="s">
        <v>76</v>
      </c>
      <c r="D14" s="45" t="s">
        <v>77</v>
      </c>
      <c r="E14" s="45" t="s">
        <v>78</v>
      </c>
    </row>
    <row r="15" spans="1:11" ht="31.5" customHeight="1" x14ac:dyDescent="0.25">
      <c r="B15" s="44" t="s">
        <v>79</v>
      </c>
      <c r="C15" s="44" t="s">
        <v>80</v>
      </c>
      <c r="D15" s="45" t="s">
        <v>81</v>
      </c>
      <c r="E15" s="45" t="s">
        <v>82</v>
      </c>
    </row>
    <row r="16" spans="1:11" ht="31.5" customHeight="1" x14ac:dyDescent="0.25">
      <c r="B16" s="44" t="s">
        <v>83</v>
      </c>
      <c r="C16" s="44" t="s">
        <v>84</v>
      </c>
      <c r="D16" s="45" t="s">
        <v>85</v>
      </c>
      <c r="E16" s="45" t="s">
        <v>86</v>
      </c>
    </row>
    <row r="17" spans="2:5" ht="31.5" customHeight="1" x14ac:dyDescent="0.25">
      <c r="B17" s="44" t="s">
        <v>87</v>
      </c>
      <c r="C17" s="44" t="s">
        <v>88</v>
      </c>
      <c r="D17" s="45" t="s">
        <v>25</v>
      </c>
      <c r="E17" s="45" t="s">
        <v>89</v>
      </c>
    </row>
    <row r="18" spans="2:5" ht="31.5" customHeight="1" x14ac:dyDescent="0.25">
      <c r="B18" s="44" t="s">
        <v>90</v>
      </c>
      <c r="C18" s="44" t="s">
        <v>91</v>
      </c>
      <c r="D18" s="45"/>
      <c r="E18" s="45"/>
    </row>
  </sheetData>
  <mergeCells count="1">
    <mergeCell ref="B10:E1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4" sqref="K4"/>
    </sheetView>
  </sheetViews>
  <sheetFormatPr defaultRowHeight="15" x14ac:dyDescent="0.25"/>
  <cols>
    <col min="2" max="2" width="17.28515625" customWidth="1"/>
    <col min="5" max="5" width="14.5703125" customWidth="1"/>
    <col min="6" max="6" width="13" customWidth="1"/>
  </cols>
  <sheetData>
    <row r="1" spans="1:10" x14ac:dyDescent="0.25">
      <c r="A1" s="22"/>
      <c r="B1" s="22"/>
      <c r="C1" s="22"/>
      <c r="D1" s="22"/>
      <c r="E1" s="22"/>
      <c r="F1" s="22"/>
      <c r="G1" s="22"/>
      <c r="H1" s="22"/>
      <c r="I1" s="22"/>
      <c r="J1" s="77" t="s">
        <v>193</v>
      </c>
    </row>
    <row r="2" spans="1:10" x14ac:dyDescent="0.25">
      <c r="A2" s="65" t="s">
        <v>129</v>
      </c>
      <c r="B2" s="65" t="s">
        <v>130</v>
      </c>
      <c r="C2" s="65" t="s">
        <v>131</v>
      </c>
      <c r="D2" s="65" t="s">
        <v>132</v>
      </c>
      <c r="E2" s="65" t="s">
        <v>133</v>
      </c>
      <c r="F2" s="65" t="s">
        <v>134</v>
      </c>
      <c r="G2" s="65" t="s">
        <v>135</v>
      </c>
      <c r="H2" s="65" t="s">
        <v>136</v>
      </c>
      <c r="I2" s="22"/>
      <c r="J2" s="77" t="s">
        <v>137</v>
      </c>
    </row>
    <row r="3" spans="1:10" x14ac:dyDescent="0.25">
      <c r="A3" s="65" t="s">
        <v>138</v>
      </c>
      <c r="B3" s="23" t="s">
        <v>139</v>
      </c>
      <c r="C3" s="66" t="s">
        <v>140</v>
      </c>
      <c r="D3" s="23">
        <v>1989</v>
      </c>
      <c r="E3" s="75" t="str">
        <f>VLOOKUP(LEFT(A3,1),$A$16:$B$18,2,0)</f>
        <v xml:space="preserve"> Chạy 1000m</v>
      </c>
      <c r="F3" s="67">
        <v>0.35416666666666669</v>
      </c>
      <c r="G3" s="67">
        <v>0.3888888888888889</v>
      </c>
      <c r="H3" s="76">
        <f t="shared" ref="H3:H11" si="0">G3-F3</f>
        <v>3.472222222222221E-2</v>
      </c>
      <c r="I3" s="22"/>
      <c r="J3" s="77" t="str">
        <f t="shared" ref="J3:J11" si="1">LEFT(A3,1)</f>
        <v>C</v>
      </c>
    </row>
    <row r="4" spans="1:10" x14ac:dyDescent="0.25">
      <c r="A4" s="65" t="s">
        <v>141</v>
      </c>
      <c r="B4" s="23" t="s">
        <v>142</v>
      </c>
      <c r="C4" s="66" t="s">
        <v>140</v>
      </c>
      <c r="D4" s="23">
        <v>1980</v>
      </c>
      <c r="E4" s="75" t="str">
        <f t="shared" ref="E4:E11" si="2">VLOOKUP(LEFT(A4,1),$A$16:$B$18,2,0)</f>
        <v>Đi bộ 20 km</v>
      </c>
      <c r="F4" s="67">
        <v>0.35416666666666669</v>
      </c>
      <c r="G4" s="67">
        <v>0.40486111111111112</v>
      </c>
      <c r="H4" s="76">
        <f t="shared" si="0"/>
        <v>5.0694444444444431E-2</v>
      </c>
      <c r="I4" s="22"/>
      <c r="J4" s="77" t="str">
        <f t="shared" si="1"/>
        <v>B</v>
      </c>
    </row>
    <row r="5" spans="1:10" x14ac:dyDescent="0.25">
      <c r="A5" s="65" t="s">
        <v>141</v>
      </c>
      <c r="B5" s="23" t="s">
        <v>143</v>
      </c>
      <c r="C5" s="66" t="s">
        <v>140</v>
      </c>
      <c r="D5" s="23">
        <v>1990</v>
      </c>
      <c r="E5" s="75" t="str">
        <f t="shared" si="2"/>
        <v>Đi bộ 20 km</v>
      </c>
      <c r="F5" s="67">
        <v>0.29166666666666669</v>
      </c>
      <c r="G5" s="67">
        <v>0.3659722222222222</v>
      </c>
      <c r="H5" s="76">
        <f t="shared" si="0"/>
        <v>7.4305555555555514E-2</v>
      </c>
      <c r="I5" s="22"/>
      <c r="J5" s="77" t="str">
        <f t="shared" si="1"/>
        <v>B</v>
      </c>
    </row>
    <row r="6" spans="1:10" x14ac:dyDescent="0.25">
      <c r="A6" s="65" t="s">
        <v>144</v>
      </c>
      <c r="B6" s="23" t="s">
        <v>145</v>
      </c>
      <c r="C6" s="66" t="s">
        <v>140</v>
      </c>
      <c r="D6" s="23">
        <v>1982</v>
      </c>
      <c r="E6" s="75" t="str">
        <f t="shared" si="2"/>
        <v>Maraton</v>
      </c>
      <c r="F6" s="67">
        <v>0.25</v>
      </c>
      <c r="G6" s="67">
        <v>0.36736111111111108</v>
      </c>
      <c r="H6" s="76">
        <f t="shared" si="0"/>
        <v>0.11736111111111108</v>
      </c>
      <c r="I6" s="22"/>
      <c r="J6" s="77" t="str">
        <f t="shared" si="1"/>
        <v>M</v>
      </c>
    </row>
    <row r="7" spans="1:10" x14ac:dyDescent="0.25">
      <c r="A7" s="65" t="s">
        <v>146</v>
      </c>
      <c r="B7" s="23" t="s">
        <v>147</v>
      </c>
      <c r="C7" s="66" t="s">
        <v>140</v>
      </c>
      <c r="D7" s="23">
        <v>1975</v>
      </c>
      <c r="E7" s="75" t="str">
        <f t="shared" si="2"/>
        <v>Maraton</v>
      </c>
      <c r="F7" s="67">
        <v>0.25</v>
      </c>
      <c r="G7" s="67">
        <v>0.38194444444444442</v>
      </c>
      <c r="H7" s="76">
        <f t="shared" si="0"/>
        <v>0.13194444444444442</v>
      </c>
      <c r="I7" s="22"/>
      <c r="J7" s="77" t="str">
        <f t="shared" si="1"/>
        <v>M</v>
      </c>
    </row>
    <row r="8" spans="1:10" x14ac:dyDescent="0.25">
      <c r="A8" s="65" t="s">
        <v>148</v>
      </c>
      <c r="B8" s="23" t="s">
        <v>149</v>
      </c>
      <c r="C8" s="66" t="s">
        <v>150</v>
      </c>
      <c r="D8" s="23">
        <v>1988</v>
      </c>
      <c r="E8" s="75" t="str">
        <f t="shared" si="2"/>
        <v xml:space="preserve"> Chạy 1000m</v>
      </c>
      <c r="F8" s="67">
        <v>0.375</v>
      </c>
      <c r="G8" s="67">
        <v>0.41111111111111115</v>
      </c>
      <c r="H8" s="76">
        <f t="shared" si="0"/>
        <v>3.6111111111111149E-2</v>
      </c>
      <c r="I8" s="22"/>
      <c r="J8" s="77" t="str">
        <f t="shared" si="1"/>
        <v>C</v>
      </c>
    </row>
    <row r="9" spans="1:10" x14ac:dyDescent="0.25">
      <c r="A9" s="65" t="s">
        <v>151</v>
      </c>
      <c r="B9" s="23" t="s">
        <v>152</v>
      </c>
      <c r="C9" s="66" t="s">
        <v>150</v>
      </c>
      <c r="D9" s="23">
        <v>1987</v>
      </c>
      <c r="E9" s="75" t="str">
        <f t="shared" si="2"/>
        <v>Maraton</v>
      </c>
      <c r="F9" s="67">
        <v>0.27083333333333331</v>
      </c>
      <c r="G9" s="67">
        <v>0.3833333333333333</v>
      </c>
      <c r="H9" s="76">
        <f t="shared" si="0"/>
        <v>0.11249999999999999</v>
      </c>
      <c r="I9" s="22"/>
      <c r="J9" s="77" t="str">
        <f t="shared" si="1"/>
        <v>M</v>
      </c>
    </row>
    <row r="10" spans="1:10" x14ac:dyDescent="0.25">
      <c r="A10" s="65" t="s">
        <v>153</v>
      </c>
      <c r="B10" s="23" t="s">
        <v>154</v>
      </c>
      <c r="C10" s="66" t="s">
        <v>150</v>
      </c>
      <c r="D10" s="23">
        <v>1985</v>
      </c>
      <c r="E10" s="75" t="str">
        <f t="shared" si="2"/>
        <v>Maraton</v>
      </c>
      <c r="F10" s="67">
        <v>0.27083333333333331</v>
      </c>
      <c r="G10" s="67">
        <v>0.42083333333333334</v>
      </c>
      <c r="H10" s="76">
        <f t="shared" si="0"/>
        <v>0.15000000000000002</v>
      </c>
      <c r="I10" s="22"/>
      <c r="J10" s="77" t="str">
        <f t="shared" si="1"/>
        <v>M</v>
      </c>
    </row>
    <row r="11" spans="1:10" x14ac:dyDescent="0.25">
      <c r="A11" s="65" t="s">
        <v>155</v>
      </c>
      <c r="B11" s="23" t="s">
        <v>156</v>
      </c>
      <c r="C11" s="66" t="s">
        <v>157</v>
      </c>
      <c r="D11" s="23">
        <v>1985</v>
      </c>
      <c r="E11" s="75" t="str">
        <f t="shared" si="2"/>
        <v>Đi bộ 20 km</v>
      </c>
      <c r="F11" s="67">
        <v>0.3125</v>
      </c>
      <c r="G11" s="67">
        <v>0.37847222222222227</v>
      </c>
      <c r="H11" s="76">
        <f t="shared" si="0"/>
        <v>6.5972222222222265E-2</v>
      </c>
      <c r="I11" s="22"/>
      <c r="J11" s="77" t="str">
        <f t="shared" si="1"/>
        <v>B</v>
      </c>
    </row>
    <row r="12" spans="1:1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122" t="s">
        <v>158</v>
      </c>
      <c r="B15" s="123"/>
      <c r="C15" s="22"/>
      <c r="D15" s="68" t="s">
        <v>159</v>
      </c>
      <c r="E15" s="68"/>
      <c r="F15" s="23"/>
      <c r="G15" s="22"/>
      <c r="H15" s="22"/>
      <c r="I15" s="22"/>
      <c r="J15" s="22"/>
    </row>
    <row r="16" spans="1:10" x14ac:dyDescent="0.25">
      <c r="A16" s="23" t="s">
        <v>160</v>
      </c>
      <c r="B16" s="23" t="s">
        <v>161</v>
      </c>
      <c r="C16" s="22"/>
      <c r="D16" s="23"/>
      <c r="E16" s="23" t="s">
        <v>162</v>
      </c>
      <c r="F16" s="69" t="s">
        <v>163</v>
      </c>
      <c r="G16" s="22"/>
      <c r="H16" s="22"/>
      <c r="I16" s="22"/>
      <c r="J16" s="22"/>
    </row>
    <row r="17" spans="1:10" x14ac:dyDescent="0.25">
      <c r="A17" s="23" t="s">
        <v>16</v>
      </c>
      <c r="B17" s="23" t="s">
        <v>164</v>
      </c>
      <c r="C17" s="22"/>
      <c r="D17" s="23" t="s">
        <v>140</v>
      </c>
      <c r="E17" s="67"/>
      <c r="F17" s="23"/>
      <c r="G17" s="70"/>
      <c r="H17" s="70"/>
      <c r="I17" s="22"/>
      <c r="J17" s="22"/>
    </row>
    <row r="18" spans="1:10" x14ac:dyDescent="0.25">
      <c r="A18" s="23" t="s">
        <v>19</v>
      </c>
      <c r="B18" s="23" t="s">
        <v>165</v>
      </c>
      <c r="C18" s="22"/>
      <c r="D18" s="23" t="s">
        <v>150</v>
      </c>
      <c r="E18" s="23"/>
      <c r="F18" s="23"/>
      <c r="G18" s="70"/>
      <c r="H18" s="70"/>
      <c r="I18" s="22"/>
      <c r="J18" s="22"/>
    </row>
    <row r="19" spans="1:10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</row>
  </sheetData>
  <mergeCells count="1">
    <mergeCell ref="A15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đề quan trong 1</vt:lpstr>
      <vt:lpstr>Đề quan trong 2</vt:lpstr>
      <vt:lpstr>đề Xuat 1_03,3,2024</vt:lpstr>
      <vt:lpstr>đề Xuat 2_03,3,2024</vt:lpstr>
      <vt:lpstr>đề 3 (14,1,2024)</vt:lpstr>
      <vt:lpstr>đề Xuat 1_14,8,2022</vt:lpstr>
      <vt:lpstr>đề 26,6,2022</vt:lpstr>
      <vt:lpstr>đề xuat 1_15,5.2022</vt:lpstr>
      <vt:lpstr>19,3</vt:lpstr>
      <vt:lpstr>đề 15,1,2022_xuat 1</vt:lpstr>
      <vt:lpstr>đề 24,01,2021</vt:lpstr>
      <vt:lpstr>xuất 3 ngay 4,5,2017</vt:lpstr>
      <vt:lpstr>SV Thuc hanh1</vt:lpstr>
      <vt:lpstr>sv thuc hanh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cdnphuyen22</dc:creator>
  <cp:lastModifiedBy>user</cp:lastModifiedBy>
  <dcterms:created xsi:type="dcterms:W3CDTF">2020-05-20T10:49:09Z</dcterms:created>
  <dcterms:modified xsi:type="dcterms:W3CDTF">2024-03-05T02:30:33Z</dcterms:modified>
</cp:coreProperties>
</file>